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46640" yWindow="0" windowWidth="24600" windowHeight="18020"/>
  </bookViews>
  <sheets>
    <sheet name="original" sheetId="1" r:id="rId1"/>
    <sheet name="no in house clients" sheetId="2" r:id="rId2"/>
    <sheet name="lease out big barn" sheetId="4" r:id="rId3"/>
    <sheet name="max board scenario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C32" i="1"/>
  <c r="B32" i="1"/>
  <c r="D33" i="1"/>
  <c r="D42" i="1"/>
  <c r="D30" i="1"/>
  <c r="C30" i="1"/>
  <c r="B30" i="1"/>
  <c r="D8" i="1"/>
  <c r="C8" i="1"/>
  <c r="B8" i="1"/>
  <c r="D6" i="1"/>
  <c r="C6" i="1"/>
  <c r="B6" i="1"/>
  <c r="C7" i="1"/>
  <c r="C11" i="1"/>
  <c r="C12" i="1"/>
  <c r="C22" i="1"/>
  <c r="C23" i="1"/>
  <c r="C25" i="1"/>
  <c r="C16" i="1"/>
  <c r="C17" i="1"/>
  <c r="C18" i="1"/>
  <c r="C19" i="1"/>
  <c r="C27" i="1"/>
  <c r="C33" i="1"/>
  <c r="C42" i="1"/>
  <c r="D23" i="1"/>
  <c r="D18" i="1"/>
  <c r="D17" i="1"/>
  <c r="D16" i="1"/>
  <c r="D11" i="1"/>
  <c r="D7" i="1"/>
  <c r="D24" i="1"/>
  <c r="B23" i="1"/>
  <c r="B22" i="1"/>
  <c r="B25" i="1"/>
  <c r="B7" i="1"/>
  <c r="B11" i="1"/>
  <c r="B12" i="1"/>
  <c r="B16" i="1"/>
  <c r="B17" i="1"/>
  <c r="B18" i="1"/>
  <c r="B19" i="1"/>
  <c r="B27" i="1"/>
  <c r="B33" i="1"/>
  <c r="B36" i="1"/>
  <c r="B37" i="1"/>
  <c r="B38" i="1"/>
  <c r="B39" i="1"/>
  <c r="B40" i="1"/>
  <c r="B42" i="1"/>
  <c r="B22" i="3"/>
  <c r="B14" i="3"/>
  <c r="B21" i="4"/>
  <c r="B19" i="4"/>
  <c r="B6" i="4"/>
  <c r="B6" i="2"/>
  <c r="C6" i="2"/>
  <c r="B16" i="2"/>
  <c r="B15" i="2"/>
  <c r="E37" i="2"/>
  <c r="E27" i="2"/>
  <c r="E21" i="2"/>
  <c r="E19" i="2"/>
  <c r="E12" i="2"/>
  <c r="C21" i="2"/>
  <c r="B21" i="2"/>
  <c r="C18" i="2"/>
  <c r="B18" i="2"/>
  <c r="D38" i="3"/>
  <c r="C12" i="2"/>
  <c r="C15" i="2"/>
  <c r="C16" i="2"/>
  <c r="C19" i="2"/>
  <c r="C23" i="2"/>
  <c r="C24" i="2"/>
  <c r="C27" i="2"/>
  <c r="C30" i="2"/>
  <c r="C31" i="2"/>
  <c r="C32" i="2"/>
  <c r="C33" i="2"/>
  <c r="C34" i="2"/>
  <c r="C35" i="2"/>
  <c r="C37" i="2"/>
  <c r="B24" i="2"/>
  <c r="B23" i="2"/>
  <c r="B14" i="4"/>
  <c r="E40" i="1"/>
  <c r="B15" i="4"/>
  <c r="B12" i="4"/>
  <c r="D35" i="4"/>
  <c r="D33" i="4"/>
  <c r="D25" i="4"/>
  <c r="D19" i="4"/>
  <c r="D17" i="4"/>
  <c r="D12" i="4"/>
  <c r="B17" i="4"/>
  <c r="B25" i="4"/>
  <c r="B28" i="4"/>
  <c r="B29" i="4"/>
  <c r="B30" i="4"/>
  <c r="B31" i="4"/>
  <c r="B32" i="4"/>
  <c r="B33" i="4"/>
  <c r="B35" i="4"/>
  <c r="B23" i="3"/>
  <c r="B6" i="3"/>
  <c r="B12" i="3"/>
  <c r="B18" i="3"/>
  <c r="B20" i="3"/>
  <c r="B28" i="3"/>
  <c r="B31" i="3"/>
  <c r="B32" i="3"/>
  <c r="B33" i="3"/>
  <c r="B34" i="3"/>
  <c r="B35" i="3"/>
  <c r="B36" i="3"/>
  <c r="B38" i="3"/>
  <c r="D36" i="3"/>
  <c r="D28" i="3"/>
  <c r="D20" i="3"/>
  <c r="D18" i="3"/>
  <c r="D12" i="3"/>
  <c r="D37" i="2"/>
  <c r="D27" i="2"/>
  <c r="D21" i="2"/>
  <c r="D19" i="2"/>
  <c r="D12" i="2"/>
  <c r="B12" i="2"/>
  <c r="B19" i="2"/>
  <c r="B27" i="2"/>
  <c r="B30" i="2"/>
  <c r="B31" i="2"/>
  <c r="B32" i="2"/>
  <c r="B33" i="2"/>
  <c r="B34" i="2"/>
  <c r="B35" i="2"/>
  <c r="B37" i="2"/>
  <c r="D35" i="2"/>
</calcChain>
</file>

<file path=xl/sharedStrings.xml><?xml version="1.0" encoding="utf-8"?>
<sst xmlns="http://schemas.openxmlformats.org/spreadsheetml/2006/main" count="148" uniqueCount="71">
  <si>
    <t>CRA</t>
  </si>
  <si>
    <t>A salary</t>
  </si>
  <si>
    <t>Diesel</t>
  </si>
  <si>
    <t>Manure removal</t>
  </si>
  <si>
    <t>Board</t>
  </si>
  <si>
    <t>Training</t>
  </si>
  <si>
    <t>Offsite Training</t>
  </si>
  <si>
    <t>Current</t>
  </si>
  <si>
    <t>TOTAL EXPENSES</t>
  </si>
  <si>
    <t>Our Barn full</t>
  </si>
  <si>
    <t xml:space="preserve">Monthly Estimated Cost </t>
  </si>
  <si>
    <t>Grain</t>
  </si>
  <si>
    <t>Shavings</t>
  </si>
  <si>
    <t>Annual Expenses</t>
  </si>
  <si>
    <t>Hay</t>
  </si>
  <si>
    <t>Truck Maintenance</t>
  </si>
  <si>
    <t>Tractor Maintenance</t>
  </si>
  <si>
    <t>Trailer Maintenance</t>
  </si>
  <si>
    <t>General Replacements</t>
  </si>
  <si>
    <t>Treadmill</t>
  </si>
  <si>
    <t xml:space="preserve"> </t>
  </si>
  <si>
    <t>Total</t>
  </si>
  <si>
    <t>Tack store</t>
  </si>
  <si>
    <t>Memberships</t>
  </si>
  <si>
    <t>Manager (H 1/2 days)</t>
  </si>
  <si>
    <t>Farrier x 7</t>
  </si>
  <si>
    <t>7 days of a person A</t>
  </si>
  <si>
    <t>7 half days person  B</t>
  </si>
  <si>
    <t>Total down to 1/3</t>
  </si>
  <si>
    <t>Compare</t>
  </si>
  <si>
    <t>Annual Expenses Fixed</t>
  </si>
  <si>
    <t>to Original</t>
  </si>
  <si>
    <t>Training 10 ppl @ $600</t>
  </si>
  <si>
    <t>GF 5 horses</t>
  </si>
  <si>
    <t>Full Training</t>
  </si>
  <si>
    <t>Annual</t>
  </si>
  <si>
    <t>Monthly</t>
  </si>
  <si>
    <t>Lease out big barn &amp; 5 GF stalls</t>
  </si>
  <si>
    <t>1 Monday Staff</t>
  </si>
  <si>
    <t>Outside training</t>
  </si>
  <si>
    <t>Our Barn</t>
  </si>
  <si>
    <t>Outside board</t>
  </si>
  <si>
    <t xml:space="preserve"> + 2 training</t>
  </si>
  <si>
    <t>Manager (H days)</t>
  </si>
  <si>
    <t>Compare to Original + 2</t>
  </si>
  <si>
    <t>Farrier x 6</t>
  </si>
  <si>
    <t>Monday Staff</t>
  </si>
  <si>
    <t>Just Ours + 3 full training</t>
  </si>
  <si>
    <t>GF 4 stalls and 15 just boarded out</t>
  </si>
  <si>
    <t>Farrier</t>
  </si>
  <si>
    <t>20 Stall</t>
  </si>
  <si>
    <t>Barn No Mortgage</t>
  </si>
  <si>
    <t>Barn + training</t>
  </si>
  <si>
    <t>Board x 18</t>
  </si>
  <si>
    <t>Outside Board x 2</t>
  </si>
  <si>
    <t>WCB</t>
  </si>
  <si>
    <t>Supplies general</t>
  </si>
  <si>
    <t>Fuel</t>
  </si>
  <si>
    <t>Mortgage 1M</t>
  </si>
  <si>
    <t>Feed etc</t>
  </si>
  <si>
    <t>Debt</t>
  </si>
  <si>
    <t>Income</t>
  </si>
  <si>
    <t>Staff</t>
  </si>
  <si>
    <t>Barn + Mortgage</t>
  </si>
  <si>
    <t>Grain: 2 Bags per day $22</t>
  </si>
  <si>
    <t>Shavings: $375 per load 2 per month</t>
  </si>
  <si>
    <t>Tractor/Mower: 50k over 10 years</t>
  </si>
  <si>
    <t>Other small machiens: 20K over 10 years</t>
  </si>
  <si>
    <t>Upgrades Annual: 5k</t>
  </si>
  <si>
    <t xml:space="preserve">Inbarn training: 2 lessons per week </t>
  </si>
  <si>
    <t>Barn Staff 2 x 7 days per week $130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</si>
</sst>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"/>
  </numFmts>
  <fonts count="57" x14ac:knownFonts="1"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theme="6" tint="-0.499984740745262"/>
      <name val="Calibri"/>
      <scheme val="minor"/>
    </font>
    <font>
      <sz val="14"/>
      <color rgb="FFFF0000"/>
      <name val="Calibri"/>
      <scheme val="minor"/>
    </font>
    <font>
      <b/>
      <sz val="14"/>
      <color rgb="FF3366FF"/>
      <name val="Calibri"/>
      <scheme val="minor"/>
    </font>
    <font>
      <sz val="14"/>
      <color rgb="FF3366FF"/>
      <name val="Calibri"/>
      <scheme val="minor"/>
    </font>
    <font>
      <sz val="14"/>
      <name val="Calibri"/>
      <scheme val="minor"/>
    </font>
    <font>
      <b/>
      <sz val="14"/>
      <name val="Calibri"/>
      <scheme val="minor"/>
    </font>
    <font>
      <b/>
      <sz val="18"/>
      <color theme="1"/>
      <name val="Calibri"/>
      <scheme val="minor"/>
    </font>
    <font>
      <b/>
      <sz val="18"/>
      <color theme="6" tint="-0.499984740745262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14"/>
      <color theme="1"/>
      <name val="Calibri"/>
    </font>
    <font>
      <sz val="16"/>
      <color theme="1"/>
      <name val="Calibri"/>
    </font>
    <font>
      <sz val="14"/>
      <color rgb="FFFF0000"/>
      <name val="Calibri"/>
    </font>
    <font>
      <sz val="11"/>
      <color theme="1"/>
      <name val="Calibri"/>
    </font>
    <font>
      <b/>
      <sz val="18"/>
      <color theme="1"/>
      <name val="Calibri"/>
    </font>
    <font>
      <b/>
      <sz val="18"/>
      <color theme="8" tint="-0.499984740745262"/>
      <name val="Calibri"/>
    </font>
    <font>
      <sz val="14"/>
      <color theme="8" tint="-0.499984740745262"/>
      <name val="Calibri"/>
    </font>
    <font>
      <sz val="16"/>
      <color theme="8" tint="-0.499984740745262"/>
      <name val="Calibri"/>
    </font>
    <font>
      <sz val="11"/>
      <color theme="8" tint="-0.499984740745262"/>
      <name val="Calibri"/>
    </font>
    <font>
      <sz val="14"/>
      <name val="Calibri"/>
    </font>
    <font>
      <sz val="16"/>
      <name val="Calibri"/>
    </font>
    <font>
      <sz val="11"/>
      <name val="Calibri"/>
    </font>
    <font>
      <b/>
      <sz val="18"/>
      <name val="Calibri"/>
    </font>
    <font>
      <b/>
      <sz val="14"/>
      <color theme="8" tint="-0.499984740745262"/>
      <name val="Calibri"/>
    </font>
    <font>
      <sz val="14"/>
      <color theme="8" tint="-0.499984740745262"/>
      <name val="Calibri"/>
      <scheme val="minor"/>
    </font>
    <font>
      <sz val="14"/>
      <color theme="7" tint="-0.499984740745262"/>
      <name val="Calibri"/>
      <scheme val="minor"/>
    </font>
    <font>
      <sz val="14"/>
      <color theme="5" tint="-0.499984740745262"/>
      <name val="Calibri"/>
      <scheme val="minor"/>
    </font>
    <font>
      <b/>
      <sz val="14"/>
      <color theme="8" tint="-0.499984740745262"/>
      <name val="Calibri"/>
      <scheme val="minor"/>
    </font>
    <font>
      <b/>
      <sz val="14"/>
      <color theme="1"/>
      <name val="Calibri"/>
    </font>
    <font>
      <b/>
      <sz val="14"/>
      <color theme="7" tint="-0.499984740745262"/>
      <name val="Calibri"/>
      <scheme val="minor"/>
    </font>
    <font>
      <b/>
      <sz val="14"/>
      <name val="Calibri"/>
    </font>
    <font>
      <b/>
      <sz val="14"/>
      <color theme="6" tint="-0.499984740745262"/>
      <name val="Calibri"/>
      <scheme val="minor"/>
    </font>
    <font>
      <b/>
      <sz val="14"/>
      <color theme="5" tint="-0.499984740745262"/>
      <name val="Calibri"/>
      <scheme val="minor"/>
    </font>
    <font>
      <sz val="14"/>
      <color theme="6" tint="-0.499984740745262"/>
      <name val="Calibri"/>
    </font>
    <font>
      <b/>
      <sz val="14"/>
      <color theme="3" tint="-0.499984740745262"/>
      <name val="Calibri"/>
      <scheme val="minor"/>
    </font>
    <font>
      <b/>
      <sz val="18"/>
      <color rgb="FF4F6228"/>
      <name val="Calibri"/>
      <scheme val="minor"/>
    </font>
    <font>
      <sz val="14"/>
      <color rgb="FF215967"/>
      <name val="Calibri"/>
      <scheme val="minor"/>
    </font>
    <font>
      <b/>
      <sz val="14"/>
      <color rgb="FF215967"/>
      <name val="Calibri"/>
      <scheme val="minor"/>
    </font>
    <font>
      <sz val="14"/>
      <color rgb="FF632523"/>
      <name val="Calibri"/>
      <scheme val="minor"/>
    </font>
    <font>
      <b/>
      <sz val="14"/>
      <color rgb="FF632523"/>
      <name val="Calibri"/>
      <scheme val="minor"/>
    </font>
    <font>
      <sz val="14"/>
      <color rgb="FF403151"/>
      <name val="Calibri"/>
      <scheme val="minor"/>
    </font>
    <font>
      <b/>
      <sz val="14"/>
      <color rgb="FF403151"/>
      <name val="Calibri"/>
      <scheme val="minor"/>
    </font>
    <font>
      <b/>
      <sz val="14"/>
      <color rgb="FF0F243E"/>
      <name val="Calibri"/>
      <scheme val="minor"/>
    </font>
    <font>
      <sz val="14"/>
      <color rgb="FF4F6228"/>
      <name val="Calibri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8"/>
      <color theme="5" tint="-0.499984740745262"/>
      <name val="Calibri"/>
      <scheme val="minor"/>
    </font>
    <font>
      <b/>
      <sz val="18"/>
      <color theme="7" tint="-0.499984740745262"/>
      <name val="Calibri"/>
      <scheme val="minor"/>
    </font>
    <font>
      <b/>
      <sz val="18"/>
      <color theme="8" tint="-0.499984740745262"/>
      <name val="Calibri"/>
      <scheme val="minor"/>
    </font>
    <font>
      <b/>
      <sz val="2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4" fillId="0" borderId="0" xfId="0" applyFont="1"/>
    <xf numFmtId="165" fontId="5" fillId="0" borderId="0" xfId="0" applyNumberFormat="1" applyFont="1" applyBorder="1"/>
    <xf numFmtId="165" fontId="4" fillId="0" borderId="0" xfId="0" applyNumberFormat="1" applyFont="1"/>
    <xf numFmtId="0" fontId="4" fillId="0" borderId="0" xfId="0" applyFont="1" applyFill="1"/>
    <xf numFmtId="0" fontId="6" fillId="0" borderId="0" xfId="0" applyFont="1"/>
    <xf numFmtId="165" fontId="5" fillId="0" borderId="1" xfId="0" applyNumberFormat="1" applyFont="1" applyBorder="1"/>
    <xf numFmtId="0" fontId="7" fillId="2" borderId="0" xfId="0" applyFont="1" applyFill="1"/>
    <xf numFmtId="164" fontId="7" fillId="2" borderId="0" xfId="0" applyNumberFormat="1" applyFont="1" applyFill="1"/>
    <xf numFmtId="0" fontId="8" fillId="2" borderId="0" xfId="0" applyFont="1" applyFill="1"/>
    <xf numFmtId="164" fontId="1" fillId="0" borderId="0" xfId="0" applyNumberFormat="1" applyFont="1"/>
    <xf numFmtId="0" fontId="11" fillId="0" borderId="0" xfId="0" applyFont="1"/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0" xfId="0" applyFont="1"/>
    <xf numFmtId="0" fontId="10" fillId="0" borderId="0" xfId="0" applyFont="1" applyFill="1" applyBorder="1"/>
    <xf numFmtId="0" fontId="16" fillId="0" borderId="0" xfId="0" applyFont="1"/>
    <xf numFmtId="0" fontId="17" fillId="0" borderId="0" xfId="0" applyFont="1"/>
    <xf numFmtId="0" fontId="16" fillId="0" borderId="0" xfId="0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2" fillId="2" borderId="0" xfId="0" applyFont="1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165" fontId="22" fillId="0" borderId="0" xfId="0" applyNumberFormat="1" applyFont="1"/>
    <xf numFmtId="165" fontId="23" fillId="0" borderId="0" xfId="0" applyNumberFormat="1" applyFont="1"/>
    <xf numFmtId="165" fontId="22" fillId="2" borderId="0" xfId="0" applyNumberFormat="1" applyFont="1" applyFill="1"/>
    <xf numFmtId="165" fontId="24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4" fontId="29" fillId="2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165" fontId="29" fillId="2" borderId="0" xfId="0" applyNumberFormat="1" applyFont="1" applyFill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Border="1"/>
    <xf numFmtId="0" fontId="22" fillId="0" borderId="0" xfId="0" applyFont="1" applyBorder="1"/>
    <xf numFmtId="16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22" fillId="0" borderId="0" xfId="0" applyFont="1" applyFill="1" applyBorder="1" applyAlignment="1">
      <alignment horizontal="center"/>
    </xf>
    <xf numFmtId="0" fontId="4" fillId="0" borderId="8" xfId="0" applyFont="1" applyBorder="1"/>
    <xf numFmtId="165" fontId="4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25" fillId="0" borderId="0" xfId="0" applyFont="1" applyFill="1" applyBorder="1"/>
    <xf numFmtId="165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165" fontId="22" fillId="0" borderId="0" xfId="0" applyNumberFormat="1" applyFont="1" applyFill="1" applyBorder="1"/>
    <xf numFmtId="0" fontId="19" fillId="0" borderId="0" xfId="0" applyFont="1" applyFill="1" applyBorder="1"/>
    <xf numFmtId="0" fontId="27" fillId="0" borderId="0" xfId="0" applyFont="1" applyFill="1" applyBorder="1"/>
    <xf numFmtId="16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165" fontId="24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Fill="1" applyBorder="1" applyAlignment="1">
      <alignment horizontal="right"/>
    </xf>
    <xf numFmtId="164" fontId="29" fillId="2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165" fontId="30" fillId="0" borderId="8" xfId="0" applyNumberFormat="1" applyFont="1" applyBorder="1"/>
    <xf numFmtId="165" fontId="30" fillId="0" borderId="5" xfId="0" applyNumberFormat="1" applyFont="1" applyBorder="1"/>
    <xf numFmtId="165" fontId="30" fillId="0" borderId="0" xfId="0" applyNumberFormat="1" applyFont="1" applyBorder="1"/>
    <xf numFmtId="165" fontId="30" fillId="0" borderId="0" xfId="0" applyNumberFormat="1" applyFont="1" applyFill="1" applyBorder="1"/>
    <xf numFmtId="165" fontId="31" fillId="0" borderId="0" xfId="0" applyNumberFormat="1" applyFont="1" applyBorder="1"/>
    <xf numFmtId="0" fontId="11" fillId="0" borderId="2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0" fillId="0" borderId="4" xfId="0" applyFont="1" applyBorder="1"/>
    <xf numFmtId="0" fontId="30" fillId="0" borderId="7" xfId="0" applyFont="1" applyBorder="1"/>
    <xf numFmtId="0" fontId="30" fillId="0" borderId="7" xfId="0" applyFont="1" applyFill="1" applyBorder="1"/>
    <xf numFmtId="0" fontId="30" fillId="0" borderId="6" xfId="0" applyFont="1" applyBorder="1"/>
    <xf numFmtId="165" fontId="30" fillId="0" borderId="1" xfId="0" applyNumberFormat="1" applyFont="1" applyBorder="1"/>
    <xf numFmtId="0" fontId="31" fillId="0" borderId="4" xfId="0" applyFont="1" applyFill="1" applyBorder="1"/>
    <xf numFmtId="165" fontId="31" fillId="0" borderId="8" xfId="0" applyNumberFormat="1" applyFont="1" applyBorder="1"/>
    <xf numFmtId="0" fontId="31" fillId="0" borderId="7" xfId="0" applyFont="1" applyFill="1" applyBorder="1"/>
    <xf numFmtId="0" fontId="9" fillId="0" borderId="6" xfId="0" applyFont="1" applyFill="1" applyBorder="1"/>
    <xf numFmtId="165" fontId="5" fillId="0" borderId="12" xfId="0" applyNumberFormat="1" applyFont="1" applyBorder="1"/>
    <xf numFmtId="165" fontId="32" fillId="0" borderId="0" xfId="0" applyNumberFormat="1" applyFont="1" applyBorder="1"/>
    <xf numFmtId="0" fontId="25" fillId="0" borderId="0" xfId="0" applyFont="1" applyBorder="1"/>
    <xf numFmtId="0" fontId="4" fillId="0" borderId="1" xfId="0" applyFont="1" applyBorder="1"/>
    <xf numFmtId="0" fontId="21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9" fillId="2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5" fillId="0" borderId="0" xfId="0" applyFont="1" applyBorder="1"/>
    <xf numFmtId="0" fontId="9" fillId="0" borderId="12" xfId="0" applyFont="1" applyFill="1" applyBorder="1"/>
    <xf numFmtId="0" fontId="5" fillId="0" borderId="7" xfId="0" applyFont="1" applyBorder="1"/>
    <xf numFmtId="0" fontId="5" fillId="0" borderId="6" xfId="0" applyFont="1" applyBorder="1"/>
    <xf numFmtId="0" fontId="9" fillId="0" borderId="4" xfId="0" applyFont="1" applyFill="1" applyBorder="1"/>
    <xf numFmtId="165" fontId="32" fillId="0" borderId="8" xfId="0" applyNumberFormat="1" applyFont="1" applyBorder="1"/>
    <xf numFmtId="0" fontId="9" fillId="0" borderId="7" xfId="0" applyFont="1" applyFill="1" applyBorder="1"/>
    <xf numFmtId="165" fontId="32" fillId="0" borderId="1" xfId="0" applyNumberFormat="1" applyFont="1" applyBorder="1"/>
    <xf numFmtId="165" fontId="32" fillId="0" borderId="5" xfId="0" applyNumberFormat="1" applyFont="1" applyBorder="1"/>
    <xf numFmtId="165" fontId="32" fillId="0" borderId="2" xfId="0" applyNumberFormat="1" applyFont="1" applyBorder="1"/>
    <xf numFmtId="165" fontId="32" fillId="0" borderId="3" xfId="0" applyNumberFormat="1" applyFont="1" applyBorder="1"/>
    <xf numFmtId="0" fontId="12" fillId="0" borderId="9" xfId="0" applyFont="1" applyBorder="1" applyAlignment="1">
      <alignment horizontal="center"/>
    </xf>
    <xf numFmtId="165" fontId="30" fillId="0" borderId="2" xfId="0" applyNumberFormat="1" applyFont="1" applyBorder="1"/>
    <xf numFmtId="165" fontId="30" fillId="0" borderId="2" xfId="0" applyNumberFormat="1" applyFont="1" applyFill="1" applyBorder="1"/>
    <xf numFmtId="165" fontId="30" fillId="0" borderId="3" xfId="0" applyNumberFormat="1" applyFont="1" applyBorder="1"/>
    <xf numFmtId="165" fontId="31" fillId="0" borderId="5" xfId="0" applyNumberFormat="1" applyFont="1" applyBorder="1"/>
    <xf numFmtId="165" fontId="31" fillId="0" borderId="2" xfId="0" applyNumberFormat="1" applyFont="1" applyBorder="1"/>
    <xf numFmtId="165" fontId="5" fillId="0" borderId="2" xfId="0" applyNumberFormat="1" applyFont="1" applyBorder="1"/>
    <xf numFmtId="0" fontId="28" fillId="0" borderId="0" xfId="0" applyFont="1" applyBorder="1"/>
    <xf numFmtId="165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165" fontId="21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33" fillId="0" borderId="6" xfId="0" applyFont="1" applyBorder="1"/>
    <xf numFmtId="165" fontId="33" fillId="3" borderId="1" xfId="0" applyNumberFormat="1" applyFont="1" applyFill="1" applyBorder="1"/>
    <xf numFmtId="165" fontId="33" fillId="0" borderId="12" xfId="0" applyNumberFormat="1" applyFont="1" applyBorder="1"/>
    <xf numFmtId="165" fontId="33" fillId="0" borderId="5" xfId="0" applyNumberFormat="1" applyFont="1" applyBorder="1"/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right"/>
    </xf>
    <xf numFmtId="0" fontId="35" fillId="0" borderId="11" xfId="0" applyFont="1" applyFill="1" applyBorder="1"/>
    <xf numFmtId="165" fontId="33" fillId="0" borderId="10" xfId="0" applyNumberFormat="1" applyFont="1" applyBorder="1"/>
    <xf numFmtId="0" fontId="36" fillId="0" borderId="0" xfId="0" applyFont="1" applyBorder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165" fontId="33" fillId="0" borderId="3" xfId="0" applyNumberFormat="1" applyFont="1" applyBorder="1"/>
    <xf numFmtId="165" fontId="35" fillId="0" borderId="10" xfId="0" applyNumberFormat="1" applyFont="1" applyBorder="1"/>
    <xf numFmtId="0" fontId="10" fillId="0" borderId="4" xfId="0" applyFont="1" applyBorder="1"/>
    <xf numFmtId="0" fontId="37" fillId="0" borderId="11" xfId="0" applyFont="1" applyBorder="1"/>
    <xf numFmtId="0" fontId="10" fillId="0" borderId="11" xfId="0" applyFont="1" applyFill="1" applyBorder="1"/>
    <xf numFmtId="165" fontId="38" fillId="0" borderId="12" xfId="0" applyNumberFormat="1" applyFont="1" applyBorder="1"/>
    <xf numFmtId="0" fontId="1" fillId="0" borderId="12" xfId="0" applyFont="1" applyBorder="1"/>
    <xf numFmtId="165" fontId="38" fillId="0" borderId="10" xfId="0" applyNumberFormat="1" applyFont="1" applyBorder="1"/>
    <xf numFmtId="165" fontId="37" fillId="0" borderId="8" xfId="0" applyNumberFormat="1" applyFont="1" applyBorder="1"/>
    <xf numFmtId="165" fontId="37" fillId="0" borderId="12" xfId="0" applyNumberFormat="1" applyFont="1" applyBorder="1"/>
    <xf numFmtId="0" fontId="37" fillId="0" borderId="12" xfId="0" applyFont="1" applyBorder="1"/>
    <xf numFmtId="0" fontId="39" fillId="0" borderId="0" xfId="0" applyFont="1" applyBorder="1"/>
    <xf numFmtId="0" fontId="35" fillId="0" borderId="6" xfId="0" applyFont="1" applyFill="1" applyBorder="1"/>
    <xf numFmtId="165" fontId="35" fillId="0" borderId="1" xfId="0" applyNumberFormat="1" applyFont="1" applyBorder="1"/>
    <xf numFmtId="165" fontId="39" fillId="0" borderId="0" xfId="0" applyNumberFormat="1" applyFont="1" applyBorder="1" applyAlignment="1">
      <alignment horizontal="right"/>
    </xf>
    <xf numFmtId="0" fontId="39" fillId="0" borderId="7" xfId="0" applyFont="1" applyBorder="1"/>
    <xf numFmtId="165" fontId="39" fillId="0" borderId="0" xfId="0" applyNumberFormat="1" applyFont="1" applyBorder="1"/>
    <xf numFmtId="165" fontId="31" fillId="0" borderId="1" xfId="0" applyNumberFormat="1" applyFont="1" applyBorder="1"/>
    <xf numFmtId="165" fontId="16" fillId="0" borderId="0" xfId="0" applyNumberFormat="1" applyFont="1"/>
    <xf numFmtId="165" fontId="17" fillId="0" borderId="0" xfId="0" applyNumberFormat="1" applyFont="1"/>
    <xf numFmtId="165" fontId="16" fillId="0" borderId="0" xfId="0" applyNumberFormat="1" applyFont="1" applyFill="1"/>
    <xf numFmtId="165" fontId="34" fillId="0" borderId="0" xfId="0" applyNumberFormat="1" applyFont="1"/>
    <xf numFmtId="165" fontId="18" fillId="0" borderId="0" xfId="0" applyNumberFormat="1" applyFont="1"/>
    <xf numFmtId="165" fontId="7" fillId="2" borderId="0" xfId="0" applyNumberFormat="1" applyFont="1" applyFill="1"/>
    <xf numFmtId="165" fontId="16" fillId="0" borderId="0" xfId="0" applyNumberFormat="1" applyFont="1" applyFill="1" applyBorder="1"/>
    <xf numFmtId="165" fontId="19" fillId="0" borderId="0" xfId="0" applyNumberFormat="1" applyFont="1" applyFill="1" applyBorder="1"/>
    <xf numFmtId="165" fontId="19" fillId="0" borderId="0" xfId="0" applyNumberFormat="1" applyFont="1"/>
    <xf numFmtId="0" fontId="40" fillId="0" borderId="4" xfId="0" applyFont="1" applyBorder="1"/>
    <xf numFmtId="165" fontId="40" fillId="0" borderId="5" xfId="0" applyNumberFormat="1" applyFont="1" applyBorder="1"/>
    <xf numFmtId="0" fontId="33" fillId="0" borderId="7" xfId="0" applyFont="1" applyBorder="1"/>
    <xf numFmtId="165" fontId="33" fillId="0" borderId="2" xfId="0" applyNumberFormat="1" applyFont="1" applyBorder="1"/>
    <xf numFmtId="0" fontId="32" fillId="0" borderId="7" xfId="0" applyFont="1" applyBorder="1"/>
    <xf numFmtId="0" fontId="41" fillId="0" borderId="9" xfId="0" applyFont="1" applyBorder="1" applyAlignment="1">
      <alignment horizontal="center"/>
    </xf>
    <xf numFmtId="165" fontId="42" fillId="0" borderId="2" xfId="0" applyNumberFormat="1" applyFont="1" applyBorder="1"/>
    <xf numFmtId="165" fontId="43" fillId="0" borderId="3" xfId="0" applyNumberFormat="1" applyFont="1" applyBorder="1"/>
    <xf numFmtId="165" fontId="43" fillId="0" borderId="2" xfId="0" applyNumberFormat="1" applyFont="1" applyBorder="1"/>
    <xf numFmtId="165" fontId="44" fillId="0" borderId="2" xfId="0" applyNumberFormat="1" applyFont="1" applyBorder="1"/>
    <xf numFmtId="165" fontId="46" fillId="0" borderId="5" xfId="0" applyNumberFormat="1" applyFont="1" applyBorder="1"/>
    <xf numFmtId="165" fontId="46" fillId="0" borderId="2" xfId="0" applyNumberFormat="1" applyFont="1" applyBorder="1"/>
    <xf numFmtId="165" fontId="47" fillId="0" borderId="10" xfId="0" applyNumberFormat="1" applyFont="1" applyBorder="1"/>
    <xf numFmtId="165" fontId="48" fillId="0" borderId="5" xfId="0" applyNumberFormat="1" applyFont="1" applyBorder="1"/>
    <xf numFmtId="165" fontId="49" fillId="0" borderId="2" xfId="0" applyNumberFormat="1" applyFont="1" applyBorder="1"/>
    <xf numFmtId="165" fontId="49" fillId="0" borderId="0" xfId="0" applyNumberFormat="1" applyFont="1"/>
    <xf numFmtId="0" fontId="50" fillId="0" borderId="0" xfId="0" applyFont="1"/>
    <xf numFmtId="165" fontId="50" fillId="0" borderId="0" xfId="0" applyNumberFormat="1" applyFont="1"/>
    <xf numFmtId="164" fontId="51" fillId="0" borderId="0" xfId="0" applyNumberFormat="1" applyFont="1"/>
    <xf numFmtId="0" fontId="51" fillId="0" borderId="0" xfId="0" applyFont="1" applyAlignment="1">
      <alignment horizontal="center"/>
    </xf>
    <xf numFmtId="165" fontId="52" fillId="0" borderId="0" xfId="0" applyNumberFormat="1" applyFont="1"/>
    <xf numFmtId="165" fontId="5" fillId="0" borderId="5" xfId="0" applyNumberFormat="1" applyFont="1" applyBorder="1"/>
    <xf numFmtId="165" fontId="49" fillId="0" borderId="5" xfId="0" applyNumberFormat="1" applyFont="1" applyBorder="1"/>
    <xf numFmtId="0" fontId="5" fillId="0" borderId="4" xfId="0" applyFont="1" applyBorder="1"/>
    <xf numFmtId="165" fontId="5" fillId="0" borderId="8" xfId="0" applyNumberFormat="1" applyFont="1" applyBorder="1"/>
    <xf numFmtId="0" fontId="32" fillId="0" borderId="4" xfId="0" applyFont="1" applyBorder="1"/>
    <xf numFmtId="165" fontId="44" fillId="0" borderId="5" xfId="0" applyNumberFormat="1" applyFont="1" applyBorder="1"/>
    <xf numFmtId="0" fontId="38" fillId="0" borderId="11" xfId="0" applyFont="1" applyBorder="1"/>
    <xf numFmtId="165" fontId="45" fillId="0" borderId="10" xfId="0" applyNumberFormat="1" applyFont="1" applyBorder="1"/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53" fillId="0" borderId="7" xfId="0" applyFont="1" applyBorder="1"/>
    <xf numFmtId="0" fontId="54" fillId="0" borderId="7" xfId="0" applyFont="1" applyBorder="1"/>
    <xf numFmtId="0" fontId="12" fillId="0" borderId="7" xfId="0" applyFont="1" applyFill="1" applyBorder="1"/>
    <xf numFmtId="0" fontId="13" fillId="0" borderId="0" xfId="0" applyFont="1" applyAlignment="1">
      <alignment horizontal="center" vertical="center"/>
    </xf>
    <xf numFmtId="165" fontId="20" fillId="0" borderId="7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55" fillId="0" borderId="1" xfId="0" applyFont="1" applyBorder="1"/>
    <xf numFmtId="0" fontId="1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165" fontId="37" fillId="0" borderId="10" xfId="0" applyNumberFormat="1" applyFont="1" applyBorder="1"/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9"/>
  <sheetViews>
    <sheetView tabSelected="1" topLeftCell="A9" workbookViewId="0">
      <selection activeCell="G21" sqref="G21"/>
    </sheetView>
  </sheetViews>
  <sheetFormatPr baseColWidth="10" defaultColWidth="8.83203125" defaultRowHeight="14" x14ac:dyDescent="0"/>
  <cols>
    <col min="1" max="1" width="42.33203125" bestFit="1" customWidth="1"/>
    <col min="2" max="2" width="21.83203125" bestFit="1" customWidth="1"/>
    <col min="3" max="3" width="24.5" bestFit="1" customWidth="1"/>
    <col min="4" max="4" width="21.83203125" style="78" bestFit="1" customWidth="1"/>
    <col min="5" max="6" width="11.33203125" bestFit="1" customWidth="1"/>
    <col min="7" max="7" width="10.1640625" bestFit="1" customWidth="1"/>
    <col min="9" max="9" width="11.33203125" bestFit="1" customWidth="1"/>
  </cols>
  <sheetData>
    <row r="1" spans="1:7" s="2" customFormat="1" ht="14" customHeight="1">
      <c r="A1" s="225" t="s">
        <v>10</v>
      </c>
      <c r="B1" s="225"/>
      <c r="C1" s="225"/>
      <c r="D1" s="225"/>
    </row>
    <row r="2" spans="1:7" s="2" customFormat="1" ht="14" customHeight="1">
      <c r="A2" s="225"/>
      <c r="B2" s="225"/>
      <c r="C2" s="225"/>
      <c r="D2" s="225"/>
    </row>
    <row r="3" spans="1:7" s="12" customFormat="1" ht="23">
      <c r="B3" s="127" t="s">
        <v>50</v>
      </c>
      <c r="C3" s="127" t="s">
        <v>50</v>
      </c>
      <c r="D3" s="189" t="s">
        <v>50</v>
      </c>
      <c r="E3" s="139"/>
      <c r="F3" s="139"/>
    </row>
    <row r="4" spans="1:7" s="12" customFormat="1" ht="23">
      <c r="A4" s="90"/>
      <c r="B4" s="220" t="s">
        <v>63</v>
      </c>
      <c r="C4" s="220" t="s">
        <v>51</v>
      </c>
      <c r="D4" s="221" t="s">
        <v>52</v>
      </c>
      <c r="E4" s="139"/>
      <c r="F4" s="139"/>
    </row>
    <row r="5" spans="1:7" s="12" customFormat="1" ht="23">
      <c r="A5" s="222" t="s">
        <v>59</v>
      </c>
      <c r="B5" s="223"/>
      <c r="C5" s="223"/>
      <c r="D5" s="224"/>
      <c r="E5" s="139"/>
      <c r="F5" s="139"/>
    </row>
    <row r="6" spans="1:7" s="2" customFormat="1" ht="18">
      <c r="A6" s="95" t="s">
        <v>14</v>
      </c>
      <c r="B6" s="128">
        <f>-31*(20*12)-240</f>
        <v>-7680</v>
      </c>
      <c r="C6" s="128">
        <f>-31*(20*12)-240</f>
        <v>-7680</v>
      </c>
      <c r="D6" s="128">
        <f>-31*(20*12)-240</f>
        <v>-7680</v>
      </c>
      <c r="E6" s="45"/>
      <c r="F6" s="46"/>
      <c r="G6" s="42"/>
    </row>
    <row r="7" spans="1:7" s="2" customFormat="1" ht="18">
      <c r="A7" s="95" t="s">
        <v>64</v>
      </c>
      <c r="B7" s="128">
        <f>-22*60</f>
        <v>-1320</v>
      </c>
      <c r="C7" s="128">
        <f>-22*60</f>
        <v>-1320</v>
      </c>
      <c r="D7" s="128">
        <f>-22*60</f>
        <v>-1320</v>
      </c>
      <c r="E7" s="45"/>
      <c r="F7" s="46"/>
      <c r="G7" s="42"/>
    </row>
    <row r="8" spans="1:7" s="5" customFormat="1" ht="18">
      <c r="A8" s="96" t="s">
        <v>65</v>
      </c>
      <c r="B8" s="129">
        <f>-375*2</f>
        <v>-750</v>
      </c>
      <c r="C8" s="129">
        <f>-375*2</f>
        <v>-750</v>
      </c>
      <c r="D8" s="129">
        <f>-375*2</f>
        <v>-750</v>
      </c>
      <c r="E8" s="45"/>
      <c r="F8" s="50"/>
    </row>
    <row r="9" spans="1:7" s="5" customFormat="1" ht="18">
      <c r="A9" s="96" t="s">
        <v>56</v>
      </c>
      <c r="B9" s="129">
        <v>-500</v>
      </c>
      <c r="C9" s="129">
        <v>-500</v>
      </c>
      <c r="D9" s="129">
        <v>-500</v>
      </c>
      <c r="E9" s="45"/>
      <c r="F9" s="50"/>
    </row>
    <row r="10" spans="1:7" s="2" customFormat="1" ht="18">
      <c r="A10" s="95" t="s">
        <v>57</v>
      </c>
      <c r="B10" s="128">
        <v>-500</v>
      </c>
      <c r="C10" s="128">
        <v>-500</v>
      </c>
      <c r="D10" s="128">
        <v>-500</v>
      </c>
      <c r="E10" s="51"/>
      <c r="F10" s="51"/>
    </row>
    <row r="11" spans="1:7" s="2" customFormat="1" ht="18">
      <c r="A11" s="97" t="s">
        <v>3</v>
      </c>
      <c r="B11" s="130">
        <f>-1300</f>
        <v>-1300</v>
      </c>
      <c r="C11" s="130">
        <f>-1300</f>
        <v>-1300</v>
      </c>
      <c r="D11" s="130">
        <f>-1300</f>
        <v>-1300</v>
      </c>
      <c r="E11" s="51"/>
      <c r="F11" s="51"/>
    </row>
    <row r="12" spans="1:7" s="1" customFormat="1" ht="18">
      <c r="A12" s="143" t="s">
        <v>21</v>
      </c>
      <c r="B12" s="157">
        <f>SUM(B6:B11)</f>
        <v>-12050</v>
      </c>
      <c r="C12" s="157">
        <f>SUM(C6:C11)</f>
        <v>-12050</v>
      </c>
      <c r="D12" s="191">
        <v>-5696</v>
      </c>
      <c r="E12" s="147"/>
      <c r="F12" s="147"/>
    </row>
    <row r="13" spans="1:7" s="1" customFormat="1" ht="18">
      <c r="A13" s="186"/>
      <c r="B13" s="187"/>
      <c r="C13" s="187"/>
      <c r="D13" s="192"/>
      <c r="E13" s="147"/>
      <c r="F13" s="147"/>
    </row>
    <row r="14" spans="1:7" s="1" customFormat="1" ht="23">
      <c r="A14" s="215" t="s">
        <v>60</v>
      </c>
      <c r="B14" s="187"/>
      <c r="C14" s="187"/>
      <c r="D14" s="192"/>
      <c r="E14" s="147"/>
      <c r="F14" s="147"/>
    </row>
    <row r="15" spans="1:7" s="1" customFormat="1" ht="18">
      <c r="A15" s="209" t="s">
        <v>58</v>
      </c>
      <c r="B15" s="124">
        <v>-3863.95</v>
      </c>
      <c r="C15" s="124"/>
      <c r="D15" s="124">
        <v>-3863.95</v>
      </c>
      <c r="E15" s="147"/>
      <c r="F15" s="147"/>
    </row>
    <row r="16" spans="1:7" s="1" customFormat="1" ht="18">
      <c r="A16" s="188" t="s">
        <v>66</v>
      </c>
      <c r="B16" s="125">
        <f>-50000/10/12</f>
        <v>-416.66666666666669</v>
      </c>
      <c r="C16" s="125">
        <f>-50000/10/12</f>
        <v>-416.66666666666669</v>
      </c>
      <c r="D16" s="125">
        <f>-50000/10/12</f>
        <v>-416.66666666666669</v>
      </c>
      <c r="E16" s="147"/>
      <c r="F16" s="147"/>
    </row>
    <row r="17" spans="1:6" s="1" customFormat="1" ht="18">
      <c r="A17" s="188" t="s">
        <v>67</v>
      </c>
      <c r="B17" s="125">
        <f>-20000/10/12</f>
        <v>-166.66666666666666</v>
      </c>
      <c r="C17" s="125">
        <f>-20000/10/12</f>
        <v>-166.66666666666666</v>
      </c>
      <c r="D17" s="125">
        <f>-20000/10/12</f>
        <v>-166.66666666666666</v>
      </c>
      <c r="E17" s="147"/>
      <c r="F17" s="147"/>
    </row>
    <row r="18" spans="1:6" s="1" customFormat="1" ht="18">
      <c r="A18" s="188" t="s">
        <v>68</v>
      </c>
      <c r="B18" s="125">
        <f>-5000/12</f>
        <v>-416.66666666666669</v>
      </c>
      <c r="C18" s="125">
        <f>-5000/12</f>
        <v>-416.66666666666669</v>
      </c>
      <c r="D18" s="125">
        <f>-5000/12</f>
        <v>-416.66666666666669</v>
      </c>
      <c r="E18" s="147"/>
      <c r="F18" s="147"/>
    </row>
    <row r="19" spans="1:6" s="1" customFormat="1" ht="18">
      <c r="A19" s="211" t="s">
        <v>21</v>
      </c>
      <c r="B19" s="164">
        <f>SUM(B15:B18)</f>
        <v>-4863.9500000000007</v>
      </c>
      <c r="C19" s="164">
        <f>SUM(C15:C18)</f>
        <v>-1000</v>
      </c>
      <c r="D19" s="212">
        <v>-416.67</v>
      </c>
      <c r="E19" s="147"/>
      <c r="F19" s="147"/>
    </row>
    <row r="20" spans="1:6" s="2" customFormat="1" ht="18">
      <c r="A20" s="95"/>
      <c r="B20" s="128"/>
      <c r="C20" s="128"/>
      <c r="D20" s="190"/>
      <c r="E20" s="51"/>
      <c r="F20" s="51"/>
    </row>
    <row r="21" spans="1:6" s="2" customFormat="1" ht="23">
      <c r="A21" s="216" t="s">
        <v>61</v>
      </c>
      <c r="B21" s="128"/>
      <c r="C21" s="128"/>
      <c r="D21" s="190"/>
      <c r="E21" s="51"/>
      <c r="F21" s="51"/>
    </row>
    <row r="22" spans="1:6" s="2" customFormat="1" ht="18">
      <c r="A22" s="99" t="s">
        <v>53</v>
      </c>
      <c r="B22" s="131">
        <f>18*1200</f>
        <v>21600</v>
      </c>
      <c r="C22" s="131">
        <f>18*1200</f>
        <v>21600</v>
      </c>
      <c r="D22" s="194">
        <v>21600</v>
      </c>
      <c r="E22" s="45"/>
      <c r="F22" s="51"/>
    </row>
    <row r="23" spans="1:6" s="2" customFormat="1" ht="18">
      <c r="A23" s="101" t="s">
        <v>54</v>
      </c>
      <c r="B23" s="132">
        <f>2*350</f>
        <v>700</v>
      </c>
      <c r="C23" s="132">
        <f>700</f>
        <v>700</v>
      </c>
      <c r="D23" s="195">
        <f>700</f>
        <v>700</v>
      </c>
      <c r="E23" s="45"/>
      <c r="F23" s="51"/>
    </row>
    <row r="24" spans="1:6" s="2" customFormat="1" ht="18">
      <c r="A24" s="101" t="s">
        <v>69</v>
      </c>
      <c r="B24" s="132"/>
      <c r="C24" s="132"/>
      <c r="D24" s="195">
        <f>18*(65*2*4)</f>
        <v>9360</v>
      </c>
      <c r="E24" s="45"/>
      <c r="F24" s="51"/>
    </row>
    <row r="25" spans="1:6" s="2" customFormat="1" ht="18">
      <c r="A25" s="150" t="s">
        <v>21</v>
      </c>
      <c r="B25" s="158">
        <f>SUM(B22:B24)</f>
        <v>22300</v>
      </c>
      <c r="C25" s="158">
        <f>SUM(C22:C24)</f>
        <v>22300</v>
      </c>
      <c r="D25" s="196">
        <v>21600</v>
      </c>
      <c r="E25" s="51"/>
    </row>
    <row r="26" spans="1:6" s="2" customFormat="1" ht="18">
      <c r="A26" s="101"/>
      <c r="B26" s="132"/>
      <c r="C26" s="132"/>
      <c r="D26" s="195"/>
      <c r="E26" s="51"/>
    </row>
    <row r="27" spans="1:6" s="2" customFormat="1" ht="18">
      <c r="A27" s="184" t="s">
        <v>49</v>
      </c>
      <c r="B27" s="185">
        <f>2*-200-120</f>
        <v>-520</v>
      </c>
      <c r="C27" s="185">
        <f>2*-200-120</f>
        <v>-520</v>
      </c>
      <c r="D27" s="197">
        <v>-520</v>
      </c>
      <c r="E27" s="51"/>
    </row>
    <row r="28" spans="1:6" s="6" customFormat="1" ht="18">
      <c r="A28" s="120"/>
      <c r="B28" s="208" t="s">
        <v>20</v>
      </c>
      <c r="C28" s="208" t="s">
        <v>20</v>
      </c>
      <c r="D28" s="206" t="s">
        <v>20</v>
      </c>
      <c r="E28" s="52"/>
    </row>
    <row r="29" spans="1:6" s="6" customFormat="1" ht="23">
      <c r="A29" s="217" t="s">
        <v>62</v>
      </c>
      <c r="B29" s="3"/>
      <c r="C29" s="3"/>
      <c r="D29" s="198"/>
      <c r="E29" s="52"/>
    </row>
    <row r="30" spans="1:6" s="2" customFormat="1" ht="18">
      <c r="A30" s="207" t="s">
        <v>70</v>
      </c>
      <c r="B30" s="208">
        <f>-130*30*2</f>
        <v>-7800</v>
      </c>
      <c r="C30" s="208">
        <f>-130*30*2</f>
        <v>-7800</v>
      </c>
      <c r="D30" s="205">
        <f>-130*30*2</f>
        <v>-7800</v>
      </c>
      <c r="E30" s="51"/>
    </row>
    <row r="31" spans="1:6" s="2" customFormat="1" ht="18">
      <c r="A31" s="118" t="s">
        <v>0</v>
      </c>
      <c r="B31" s="3">
        <v>-4000</v>
      </c>
      <c r="C31" s="3">
        <v>-4000</v>
      </c>
      <c r="D31" s="133">
        <v>-4000</v>
      </c>
      <c r="E31" s="51"/>
    </row>
    <row r="32" spans="1:6" s="2" customFormat="1" ht="18">
      <c r="A32" s="118" t="s">
        <v>55</v>
      </c>
      <c r="B32" s="3">
        <f>-600</f>
        <v>-600</v>
      </c>
      <c r="C32" s="3">
        <f>-600</f>
        <v>-600</v>
      </c>
      <c r="D32" s="133">
        <f>-600</f>
        <v>-600</v>
      </c>
      <c r="E32" s="51"/>
    </row>
    <row r="33" spans="1:5" s="2" customFormat="1" ht="18">
      <c r="A33" s="160" t="s">
        <v>21</v>
      </c>
      <c r="B33" s="166">
        <f>SUM(B30:B31)</f>
        <v>-11800</v>
      </c>
      <c r="C33" s="166">
        <f>SUM(C30:C31)</f>
        <v>-11800</v>
      </c>
      <c r="D33" s="226">
        <f>SUM(D30:D31)</f>
        <v>-11800</v>
      </c>
      <c r="E33" s="51"/>
    </row>
    <row r="34" spans="1:5" s="2" customFormat="1" ht="18">
      <c r="A34" s="116"/>
      <c r="B34" s="3"/>
      <c r="C34" s="3"/>
      <c r="D34" s="199"/>
      <c r="E34" s="51"/>
    </row>
    <row r="35" spans="1:5" s="1" customFormat="1" ht="18">
      <c r="A35" s="17" t="s">
        <v>13</v>
      </c>
      <c r="B35" s="213" t="s">
        <v>36</v>
      </c>
      <c r="C35" s="213" t="s">
        <v>36</v>
      </c>
      <c r="D35" s="214" t="s">
        <v>36</v>
      </c>
      <c r="E35" s="213" t="s">
        <v>35</v>
      </c>
    </row>
    <row r="36" spans="1:5" s="2" customFormat="1" ht="18">
      <c r="A36" s="120" t="s">
        <v>15</v>
      </c>
      <c r="B36" s="121">
        <f>E36/12</f>
        <v>-166.66666666666666</v>
      </c>
      <c r="C36" s="121">
        <v>-166.67</v>
      </c>
      <c r="D36" s="210">
        <v>-166.67</v>
      </c>
      <c r="E36" s="124">
        <v>-2000</v>
      </c>
    </row>
    <row r="37" spans="1:5" s="2" customFormat="1" ht="18">
      <c r="A37" s="122" t="s">
        <v>16</v>
      </c>
      <c r="B37" s="104">
        <f>E37/12</f>
        <v>-83.333333333333329</v>
      </c>
      <c r="C37" s="104">
        <v>-83.33</v>
      </c>
      <c r="D37" s="193">
        <v>-83.33</v>
      </c>
      <c r="E37" s="125">
        <v>-1000</v>
      </c>
    </row>
    <row r="38" spans="1:5" s="2" customFormat="1" ht="18">
      <c r="A38" s="122" t="s">
        <v>17</v>
      </c>
      <c r="B38" s="104">
        <f>E38/12</f>
        <v>-83.333333333333329</v>
      </c>
      <c r="C38" s="104">
        <v>-83.33</v>
      </c>
      <c r="D38" s="193">
        <v>-83.33</v>
      </c>
      <c r="E38" s="125">
        <v>-1000</v>
      </c>
    </row>
    <row r="39" spans="1:5" s="2" customFormat="1" ht="18">
      <c r="A39" s="122" t="s">
        <v>18</v>
      </c>
      <c r="B39" s="104">
        <f>E39/12</f>
        <v>-416.66666666666669</v>
      </c>
      <c r="C39" s="104">
        <v>-416.67</v>
      </c>
      <c r="D39" s="193">
        <v>-416.67</v>
      </c>
      <c r="E39" s="125">
        <v>-5000</v>
      </c>
    </row>
    <row r="40" spans="1:5" s="2" customFormat="1" ht="18">
      <c r="A40" s="161" t="s">
        <v>21</v>
      </c>
      <c r="B40" s="162">
        <f>SUM(B36:B39)</f>
        <v>-750</v>
      </c>
      <c r="C40" s="162">
        <v>-750</v>
      </c>
      <c r="D40" s="212">
        <v>-750</v>
      </c>
      <c r="E40" s="164">
        <f>SUM(E36:E39)</f>
        <v>-9000</v>
      </c>
    </row>
    <row r="41" spans="1:5" s="2" customFormat="1" ht="18">
      <c r="B41" s="4"/>
      <c r="C41" s="4"/>
      <c r="D41" s="201"/>
    </row>
    <row r="42" spans="1:5" s="10" customFormat="1" ht="18">
      <c r="A42" s="8" t="s">
        <v>8</v>
      </c>
      <c r="B42" s="9">
        <f>B12+B25+B19+B27+B33+B40</f>
        <v>-7683.9500000000007</v>
      </c>
      <c r="C42" s="9">
        <f>C12+C25+C19+C27+C33+C40</f>
        <v>-3820</v>
      </c>
      <c r="D42" s="9">
        <f>D12+D25+D19+D27+D33+D40</f>
        <v>2417.33</v>
      </c>
    </row>
    <row r="43" spans="1:5" s="2" customFormat="1" ht="18">
      <c r="A43" s="1"/>
      <c r="B43" s="11"/>
      <c r="C43" s="11"/>
      <c r="D43" s="202"/>
    </row>
    <row r="44" spans="1:5" s="2" customFormat="1" ht="18">
      <c r="D44" s="200"/>
    </row>
    <row r="45" spans="1:5" s="58" customFormat="1" ht="18">
      <c r="B45" s="59"/>
      <c r="C45" s="59"/>
      <c r="D45" s="203"/>
    </row>
    <row r="46" spans="1:5" s="58" customFormat="1" ht="18">
      <c r="B46" s="55"/>
      <c r="C46" s="55"/>
      <c r="D46" s="201"/>
    </row>
    <row r="47" spans="1:5" s="58" customFormat="1" ht="18">
      <c r="B47" s="55"/>
      <c r="C47" s="55"/>
      <c r="D47" s="201"/>
    </row>
    <row r="48" spans="1:5" s="58" customFormat="1" ht="18">
      <c r="B48" s="55"/>
      <c r="C48" s="55"/>
      <c r="D48" s="201"/>
    </row>
    <row r="49" spans="2:4" s="56" customFormat="1">
      <c r="B49" s="57"/>
      <c r="C49" s="57"/>
      <c r="D49" s="204"/>
    </row>
  </sheetData>
  <mergeCells count="1">
    <mergeCell ref="A1:D2"/>
  </mergeCells>
  <phoneticPr fontId="14" type="noConversion"/>
  <printOptions gridLines="1"/>
  <pageMargins left="0.71" right="0.71" top="0.75000000000000011" bottom="0.75000000000000011" header="0.31" footer="0.31"/>
  <pageSetup paperSize="9" scale="76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4"/>
  <sheetViews>
    <sheetView workbookViewId="0">
      <selection activeCell="B17" sqref="B17"/>
    </sheetView>
  </sheetViews>
  <sheetFormatPr baseColWidth="10" defaultColWidth="8.83203125" defaultRowHeight="14" x14ac:dyDescent="0"/>
  <cols>
    <col min="1" max="1" width="35" bestFit="1" customWidth="1"/>
    <col min="2" max="2" width="33.83203125" customWidth="1"/>
    <col min="3" max="3" width="22.83203125" customWidth="1"/>
    <col min="4" max="4" width="16.6640625" bestFit="1" customWidth="1"/>
    <col min="5" max="5" width="25.33203125" style="183" customWidth="1"/>
    <col min="6" max="6" width="20.6640625" style="30" bestFit="1" customWidth="1"/>
    <col min="7" max="7" width="20.5" style="41" bestFit="1" customWidth="1"/>
    <col min="8" max="8" width="15.33203125" style="37" bestFit="1" customWidth="1"/>
    <col min="9" max="9" width="15.33203125" style="84" customWidth="1"/>
    <col min="10" max="10" width="7.33203125" style="115" bestFit="1" customWidth="1"/>
    <col min="11" max="11" width="16.83203125" style="41" customWidth="1"/>
    <col min="12" max="12" width="3" style="27" customWidth="1"/>
    <col min="13" max="13" width="15.83203125" style="27" bestFit="1" customWidth="1"/>
    <col min="14" max="14" width="11.33203125" style="34" bestFit="1" customWidth="1"/>
    <col min="15" max="15" width="5.83203125" style="78" bestFit="1" customWidth="1"/>
    <col min="16" max="17" width="11.33203125" bestFit="1" customWidth="1"/>
    <col min="18" max="18" width="10.1640625" bestFit="1" customWidth="1"/>
  </cols>
  <sheetData>
    <row r="1" spans="1:18" s="2" customFormat="1" ht="14" customHeight="1">
      <c r="A1" s="218" t="s">
        <v>10</v>
      </c>
      <c r="B1" s="218"/>
      <c r="C1" s="218"/>
      <c r="D1" s="218"/>
      <c r="E1" s="175"/>
      <c r="F1" s="28"/>
      <c r="G1" s="38"/>
      <c r="H1" s="35"/>
      <c r="I1" s="42"/>
      <c r="J1" s="108"/>
      <c r="K1" s="38"/>
      <c r="L1" s="24"/>
      <c r="M1" s="24"/>
      <c r="N1" s="31"/>
      <c r="O1" s="71"/>
    </row>
    <row r="2" spans="1:18" s="2" customFormat="1" ht="14" customHeight="1">
      <c r="A2" s="218"/>
      <c r="B2" s="218"/>
      <c r="C2" s="218"/>
      <c r="D2" s="218"/>
      <c r="E2" s="175"/>
      <c r="F2" s="28"/>
      <c r="G2" s="38"/>
      <c r="H2" s="35"/>
      <c r="I2" s="42"/>
      <c r="J2" s="108"/>
      <c r="K2" s="38"/>
      <c r="L2" s="24"/>
      <c r="M2" s="24"/>
      <c r="N2" s="31"/>
      <c r="O2" s="71"/>
    </row>
    <row r="3" spans="1:18" s="16" customFormat="1" ht="20">
      <c r="A3" s="218"/>
      <c r="B3" s="218"/>
      <c r="C3" s="218"/>
      <c r="D3" s="218"/>
      <c r="E3" s="176"/>
      <c r="F3" s="29"/>
      <c r="G3" s="39"/>
      <c r="H3" s="36"/>
      <c r="I3" s="80"/>
      <c r="J3" s="109"/>
      <c r="K3" s="39"/>
      <c r="L3" s="25"/>
      <c r="M3" s="25"/>
      <c r="N3" s="32"/>
      <c r="O3" s="72"/>
    </row>
    <row r="4" spans="1:18" s="12" customFormat="1" ht="23">
      <c r="B4" s="13" t="s">
        <v>40</v>
      </c>
      <c r="C4" s="14"/>
      <c r="D4" s="15" t="s">
        <v>29</v>
      </c>
      <c r="E4" s="219" t="s">
        <v>44</v>
      </c>
      <c r="F4" s="134"/>
      <c r="G4" s="135"/>
      <c r="H4" s="79"/>
      <c r="I4" s="79"/>
      <c r="J4" s="107"/>
      <c r="K4" s="135"/>
      <c r="L4" s="136"/>
      <c r="M4" s="136"/>
      <c r="N4" s="137"/>
      <c r="O4" s="138"/>
      <c r="P4" s="139"/>
      <c r="Q4" s="139"/>
    </row>
    <row r="5" spans="1:18" s="12" customFormat="1" ht="23">
      <c r="A5" s="90"/>
      <c r="B5" s="91" t="s">
        <v>47</v>
      </c>
      <c r="C5" s="92" t="s">
        <v>42</v>
      </c>
      <c r="D5" s="93" t="s">
        <v>31</v>
      </c>
      <c r="E5" s="219"/>
      <c r="F5" s="134"/>
      <c r="G5" s="135"/>
      <c r="H5" s="79"/>
      <c r="I5" s="79"/>
      <c r="J5" s="107"/>
      <c r="K5" s="135"/>
      <c r="L5" s="136"/>
      <c r="M5" s="136"/>
      <c r="N5" s="137"/>
      <c r="O5" s="140"/>
      <c r="P5" s="139"/>
      <c r="Q5" s="139"/>
    </row>
    <row r="6" spans="1:18" s="2" customFormat="1" ht="18">
      <c r="A6" s="94" t="s">
        <v>14</v>
      </c>
      <c r="B6" s="85">
        <f>-31*(9.5*3)-230</f>
        <v>-1113.5</v>
      </c>
      <c r="C6" s="85">
        <f>-31*(9.5*3)-230</f>
        <v>-1113.5</v>
      </c>
      <c r="D6" s="86"/>
      <c r="E6" s="175"/>
      <c r="F6" s="105"/>
      <c r="G6" s="45"/>
      <c r="H6" s="50"/>
      <c r="I6" s="45"/>
      <c r="J6" s="111"/>
      <c r="K6" s="45"/>
      <c r="L6" s="46"/>
      <c r="M6" s="105"/>
      <c r="N6" s="45"/>
      <c r="O6" s="50"/>
      <c r="P6" s="45"/>
      <c r="Q6" s="46"/>
      <c r="R6" s="42"/>
    </row>
    <row r="7" spans="1:18" s="2" customFormat="1" ht="18">
      <c r="A7" s="95" t="s">
        <v>11</v>
      </c>
      <c r="B7" s="87">
        <v>-550</v>
      </c>
      <c r="C7" s="87">
        <v>-550</v>
      </c>
      <c r="D7" s="86"/>
      <c r="E7" s="175"/>
      <c r="F7" s="61"/>
      <c r="G7" s="44"/>
      <c r="H7" s="53"/>
      <c r="I7" s="45"/>
      <c r="J7" s="110"/>
      <c r="K7" s="45"/>
      <c r="L7" s="46"/>
      <c r="M7" s="105"/>
      <c r="N7" s="45"/>
      <c r="O7" s="50"/>
      <c r="P7" s="45"/>
      <c r="Q7" s="46"/>
      <c r="R7" s="42"/>
    </row>
    <row r="8" spans="1:18" s="5" customFormat="1" ht="18">
      <c r="A8" s="96" t="s">
        <v>12</v>
      </c>
      <c r="B8" s="88">
        <v>-250</v>
      </c>
      <c r="C8" s="88">
        <v>-250</v>
      </c>
      <c r="D8" s="86"/>
      <c r="E8" s="177"/>
      <c r="F8" s="58"/>
      <c r="G8" s="44"/>
      <c r="H8" s="53"/>
      <c r="I8" s="81"/>
      <c r="J8" s="110"/>
      <c r="K8" s="45"/>
      <c r="L8" s="81"/>
      <c r="M8" s="51"/>
      <c r="N8" s="45"/>
      <c r="O8" s="50"/>
      <c r="P8" s="45"/>
      <c r="Q8" s="50"/>
    </row>
    <row r="9" spans="1:18" s="5" customFormat="1" ht="18">
      <c r="A9" s="96" t="s">
        <v>22</v>
      </c>
      <c r="B9" s="88">
        <v>-1000</v>
      </c>
      <c r="C9" s="88">
        <v>-1000</v>
      </c>
      <c r="D9" s="86"/>
      <c r="E9" s="177"/>
      <c r="F9" s="58"/>
      <c r="G9" s="44"/>
      <c r="H9" s="53"/>
      <c r="I9" s="81"/>
      <c r="J9" s="110"/>
      <c r="K9" s="45"/>
      <c r="L9" s="81"/>
      <c r="M9" s="105"/>
      <c r="N9" s="45"/>
      <c r="O9" s="50"/>
      <c r="P9" s="45"/>
      <c r="Q9" s="50"/>
    </row>
    <row r="10" spans="1:18" s="2" customFormat="1" ht="18">
      <c r="A10" s="95" t="s">
        <v>2</v>
      </c>
      <c r="B10" s="87">
        <v>-150</v>
      </c>
      <c r="C10" s="87">
        <v>-150</v>
      </c>
      <c r="D10" s="86"/>
      <c r="E10" s="175"/>
      <c r="F10" s="51"/>
      <c r="G10" s="47"/>
      <c r="H10" s="50"/>
      <c r="I10" s="45"/>
      <c r="J10" s="111"/>
      <c r="K10" s="45"/>
      <c r="L10" s="141"/>
      <c r="M10" s="51"/>
      <c r="N10" s="51"/>
      <c r="O10" s="73"/>
      <c r="P10" s="51"/>
      <c r="Q10" s="51"/>
    </row>
    <row r="11" spans="1:18" s="2" customFormat="1" ht="18">
      <c r="A11" s="97" t="s">
        <v>3</v>
      </c>
      <c r="B11" s="98">
        <v>-600</v>
      </c>
      <c r="C11" s="98">
        <v>-600</v>
      </c>
      <c r="D11" s="86"/>
      <c r="E11" s="175"/>
      <c r="F11" s="51"/>
      <c r="G11" s="47"/>
      <c r="H11" s="50"/>
      <c r="I11" s="45"/>
      <c r="J11" s="111"/>
      <c r="K11" s="45"/>
      <c r="L11" s="141"/>
      <c r="M11" s="51"/>
      <c r="N11" s="51"/>
      <c r="O11" s="73"/>
      <c r="P11" s="51"/>
      <c r="Q11" s="51"/>
    </row>
    <row r="12" spans="1:18" s="1" customFormat="1" ht="18">
      <c r="A12" s="143" t="s">
        <v>28</v>
      </c>
      <c r="B12" s="144">
        <f>SUM(B6:B11)/3</f>
        <v>-1221.1666666666667</v>
      </c>
      <c r="C12" s="144">
        <f>SUM(C6:C11)/3</f>
        <v>-1221.1666666666667</v>
      </c>
      <c r="D12" s="146">
        <f>original!B12</f>
        <v>-12050</v>
      </c>
      <c r="E12" s="178" t="e">
        <f>original!#REF!</f>
        <v>#REF!</v>
      </c>
      <c r="F12" s="147"/>
      <c r="G12" s="147"/>
      <c r="H12" s="147"/>
      <c r="I12" s="147"/>
      <c r="J12" s="148"/>
      <c r="K12" s="149"/>
      <c r="L12" s="147"/>
      <c r="M12" s="147"/>
      <c r="N12" s="147"/>
      <c r="O12" s="140"/>
      <c r="P12" s="147"/>
      <c r="Q12" s="147"/>
    </row>
    <row r="13" spans="1:18" s="2" customFormat="1" ht="18">
      <c r="A13" s="95"/>
      <c r="B13" s="87"/>
      <c r="C13" s="87"/>
      <c r="D13" s="86"/>
      <c r="E13" s="175"/>
      <c r="F13" s="51"/>
      <c r="G13" s="51"/>
      <c r="H13" s="51"/>
      <c r="I13" s="51"/>
      <c r="J13" s="112"/>
      <c r="K13" s="45"/>
      <c r="L13" s="51"/>
      <c r="M13" s="51"/>
      <c r="N13" s="51"/>
      <c r="O13" s="73"/>
      <c r="P13" s="51"/>
      <c r="Q13" s="51"/>
    </row>
    <row r="14" spans="1:18" s="2" customFormat="1" ht="18">
      <c r="A14" s="99" t="s">
        <v>39</v>
      </c>
      <c r="B14" s="100">
        <v>1550</v>
      </c>
      <c r="C14" s="100">
        <v>1550</v>
      </c>
      <c r="D14" s="86"/>
      <c r="E14" s="175"/>
      <c r="F14" s="51"/>
      <c r="G14" s="51"/>
      <c r="H14" s="51"/>
      <c r="I14" s="51"/>
      <c r="J14" s="112"/>
      <c r="K14" s="45"/>
      <c r="L14" s="51"/>
      <c r="M14" s="51"/>
      <c r="N14" s="47"/>
      <c r="O14" s="73"/>
      <c r="P14" s="45"/>
      <c r="Q14" s="51"/>
    </row>
    <row r="15" spans="1:18" s="2" customFormat="1" ht="18">
      <c r="A15" s="101" t="s">
        <v>34</v>
      </c>
      <c r="B15" s="89">
        <f>3*1300</f>
        <v>3900</v>
      </c>
      <c r="C15" s="89">
        <f>2*1300</f>
        <v>2600</v>
      </c>
      <c r="D15" s="86"/>
      <c r="E15" s="175"/>
      <c r="F15" s="51"/>
      <c r="G15" s="51"/>
      <c r="H15" s="50"/>
      <c r="I15" s="45"/>
      <c r="J15" s="111"/>
      <c r="K15" s="49"/>
      <c r="L15" s="51"/>
      <c r="M15" s="142"/>
      <c r="N15" s="47"/>
      <c r="O15" s="73"/>
      <c r="P15" s="45"/>
      <c r="Q15" s="51"/>
    </row>
    <row r="16" spans="1:18" s="2" customFormat="1" ht="18">
      <c r="A16" s="101" t="s">
        <v>4</v>
      </c>
      <c r="B16" s="89">
        <f>3*1200</f>
        <v>3600</v>
      </c>
      <c r="C16" s="89">
        <f>2*1200</f>
        <v>2400</v>
      </c>
      <c r="D16" s="86"/>
      <c r="E16" s="175"/>
      <c r="F16" s="51"/>
      <c r="G16" s="51"/>
      <c r="H16" s="50"/>
      <c r="I16" s="45"/>
      <c r="J16" s="111"/>
      <c r="K16" s="49"/>
      <c r="L16" s="51"/>
      <c r="M16" s="142"/>
      <c r="N16" s="47"/>
      <c r="O16" s="73"/>
      <c r="P16" s="45"/>
      <c r="Q16" s="51"/>
    </row>
    <row r="17" spans="1:17" s="2" customFormat="1" ht="18">
      <c r="A17" s="101" t="s">
        <v>41</v>
      </c>
      <c r="B17" s="89">
        <v>650</v>
      </c>
      <c r="C17" s="89">
        <v>650</v>
      </c>
      <c r="D17" s="86"/>
      <c r="E17" s="175"/>
      <c r="F17" s="51"/>
      <c r="G17" s="51"/>
      <c r="H17" s="50"/>
      <c r="I17" s="45"/>
      <c r="J17" s="111"/>
      <c r="K17" s="49"/>
      <c r="L17" s="51"/>
      <c r="M17" s="142"/>
      <c r="N17" s="47"/>
      <c r="O17" s="73"/>
      <c r="P17" s="45"/>
      <c r="Q17" s="51"/>
    </row>
    <row r="18" spans="1:17" s="2" customFormat="1" ht="18">
      <c r="A18" s="101" t="s">
        <v>5</v>
      </c>
      <c r="B18" s="174">
        <f>2.5*5*4*75</f>
        <v>3750</v>
      </c>
      <c r="C18" s="174">
        <f>2.5*7*4*75</f>
        <v>5250</v>
      </c>
      <c r="D18" s="86"/>
      <c r="E18" s="175"/>
      <c r="F18" s="51"/>
      <c r="G18" s="47"/>
      <c r="H18" s="50"/>
      <c r="I18" s="46"/>
      <c r="J18" s="111"/>
      <c r="K18" s="47"/>
      <c r="L18" s="51"/>
      <c r="M18" s="46"/>
      <c r="N18" s="47"/>
      <c r="O18" s="73"/>
      <c r="P18" s="51"/>
      <c r="Q18" s="51"/>
    </row>
    <row r="19" spans="1:17" s="1" customFormat="1" ht="18">
      <c r="A19" s="150" t="s">
        <v>21</v>
      </c>
      <c r="B19" s="170">
        <f>SUM(B14:B18)</f>
        <v>13450</v>
      </c>
      <c r="C19" s="170">
        <f>SUM(C14:C18)</f>
        <v>12450</v>
      </c>
      <c r="D19" s="151">
        <f>original!B25</f>
        <v>22300</v>
      </c>
      <c r="E19" s="178" t="e">
        <f>original!#REF!</f>
        <v>#REF!</v>
      </c>
      <c r="F19" s="152"/>
      <c r="G19" s="149"/>
      <c r="H19" s="153"/>
      <c r="I19" s="154"/>
      <c r="J19" s="155"/>
      <c r="K19" s="149"/>
      <c r="L19" s="156"/>
      <c r="M19" s="147"/>
      <c r="N19" s="147"/>
      <c r="O19" s="140"/>
      <c r="P19" s="147"/>
    </row>
    <row r="20" spans="1:17" s="2" customFormat="1" ht="18">
      <c r="A20" s="101"/>
      <c r="B20" s="89"/>
      <c r="C20" s="89" t="s">
        <v>20</v>
      </c>
      <c r="D20" s="86"/>
      <c r="E20" s="175"/>
      <c r="F20" s="105"/>
      <c r="G20" s="45"/>
      <c r="H20" s="50"/>
      <c r="I20" s="46"/>
      <c r="J20" s="111"/>
      <c r="K20" s="45"/>
      <c r="L20" s="42"/>
      <c r="M20" s="51"/>
      <c r="N20" s="51"/>
      <c r="O20" s="73"/>
      <c r="P20" s="51"/>
    </row>
    <row r="21" spans="1:17" s="2" customFormat="1" ht="18">
      <c r="A21" s="159" t="s">
        <v>25</v>
      </c>
      <c r="B21" s="165">
        <f>-250-250-250-250-40-40</f>
        <v>-1080</v>
      </c>
      <c r="C21" s="165">
        <f>-250-250-250-250-40-40</f>
        <v>-1080</v>
      </c>
      <c r="D21" s="146">
        <f>original!B27</f>
        <v>-520</v>
      </c>
      <c r="E21" s="175" t="e">
        <f>original!#REF!</f>
        <v>#REF!</v>
      </c>
      <c r="F21" s="51"/>
      <c r="G21" s="47"/>
      <c r="H21" s="50"/>
      <c r="I21" s="46"/>
      <c r="J21" s="111"/>
      <c r="K21" s="47"/>
      <c r="L21" s="42"/>
      <c r="M21" s="51"/>
      <c r="N21" s="51"/>
      <c r="O21" s="73"/>
      <c r="P21" s="51"/>
    </row>
    <row r="22" spans="1:17" s="6" customFormat="1" ht="18">
      <c r="A22" s="117"/>
      <c r="B22" s="103"/>
      <c r="C22" s="103"/>
      <c r="D22" s="86"/>
      <c r="E22" s="179"/>
      <c r="F22" s="105"/>
      <c r="G22" s="45"/>
      <c r="H22" s="50"/>
      <c r="I22" s="46"/>
      <c r="J22" s="111"/>
      <c r="K22" s="45"/>
      <c r="L22" s="42" t="s">
        <v>20</v>
      </c>
      <c r="M22" s="46"/>
      <c r="N22" s="47"/>
      <c r="O22" s="74"/>
      <c r="P22" s="52"/>
    </row>
    <row r="23" spans="1:17" s="2" customFormat="1" ht="18">
      <c r="A23" s="168" t="s">
        <v>38</v>
      </c>
      <c r="B23" s="3">
        <f>-4*130</f>
        <v>-520</v>
      </c>
      <c r="C23" s="3">
        <f>-4*130</f>
        <v>-520</v>
      </c>
      <c r="D23" s="86"/>
      <c r="E23" s="175"/>
      <c r="F23" s="105"/>
      <c r="G23" s="49"/>
      <c r="H23" s="50"/>
      <c r="I23" s="46"/>
      <c r="J23" s="111"/>
      <c r="K23" s="49"/>
      <c r="L23" s="24"/>
      <c r="M23" s="48"/>
      <c r="N23" s="47"/>
      <c r="O23" s="73"/>
      <c r="P23" s="51"/>
    </row>
    <row r="24" spans="1:17" s="2" customFormat="1" ht="18">
      <c r="A24" s="118" t="s">
        <v>43</v>
      </c>
      <c r="B24" s="3">
        <f>-150*24</f>
        <v>-3600</v>
      </c>
      <c r="C24" s="3">
        <f>-150*24</f>
        <v>-3600</v>
      </c>
      <c r="D24" s="86"/>
      <c r="E24" s="175"/>
      <c r="F24" s="105"/>
      <c r="G24" s="49"/>
      <c r="H24" s="50"/>
      <c r="I24" s="46"/>
      <c r="J24" s="111"/>
      <c r="K24" s="49"/>
      <c r="L24" s="24"/>
      <c r="M24" s="48"/>
      <c r="N24" s="47"/>
      <c r="O24" s="73"/>
      <c r="P24" s="51"/>
    </row>
    <row r="25" spans="1:17" s="2" customFormat="1" ht="18">
      <c r="A25" s="118" t="s">
        <v>1</v>
      </c>
      <c r="B25" s="3">
        <v>-4200</v>
      </c>
      <c r="C25" s="3">
        <v>-4200</v>
      </c>
      <c r="D25" s="86"/>
      <c r="E25" s="175"/>
      <c r="F25" s="105"/>
      <c r="G25" s="49"/>
      <c r="H25" s="50"/>
      <c r="I25" s="46"/>
      <c r="J25" s="111"/>
      <c r="K25" s="49"/>
      <c r="L25" s="24"/>
      <c r="M25" s="48"/>
      <c r="N25" s="47"/>
      <c r="O25" s="73"/>
      <c r="P25" s="51"/>
    </row>
    <row r="26" spans="1:17" s="2" customFormat="1" ht="18">
      <c r="A26" s="119" t="s">
        <v>0</v>
      </c>
      <c r="B26" s="7">
        <v>-1400</v>
      </c>
      <c r="C26" s="7">
        <v>-1400</v>
      </c>
      <c r="D26" s="86"/>
      <c r="E26" s="175"/>
      <c r="F26" s="105"/>
      <c r="G26" s="49"/>
      <c r="H26" s="50"/>
      <c r="I26" s="46"/>
      <c r="J26" s="111"/>
      <c r="K26" s="49"/>
      <c r="L26" s="24"/>
      <c r="M26" s="48"/>
      <c r="N26" s="47"/>
      <c r="O26" s="73"/>
      <c r="P26" s="51"/>
    </row>
    <row r="27" spans="1:17" s="2" customFormat="1" ht="18">
      <c r="A27" s="160" t="s">
        <v>21</v>
      </c>
      <c r="B27" s="166">
        <f>SUM(B23:B26)</f>
        <v>-9720</v>
      </c>
      <c r="C27" s="166">
        <f>SUM(C23:C26)</f>
        <v>-9720</v>
      </c>
      <c r="D27" s="151">
        <f>original!B33</f>
        <v>-11800</v>
      </c>
      <c r="E27" s="175" t="e">
        <f>original!#REF!</f>
        <v>#REF!</v>
      </c>
      <c r="F27" s="105"/>
      <c r="G27" s="49"/>
      <c r="H27" s="51"/>
      <c r="I27" s="51"/>
      <c r="J27" s="112"/>
      <c r="K27" s="51"/>
      <c r="L27" s="24"/>
      <c r="M27" s="48"/>
      <c r="N27" s="47"/>
      <c r="O27" s="73"/>
      <c r="P27" s="51"/>
    </row>
    <row r="28" spans="1:17" s="2" customFormat="1" ht="18">
      <c r="A28" s="116"/>
      <c r="B28" s="3"/>
      <c r="C28" s="3"/>
      <c r="D28" s="3"/>
      <c r="E28" s="175"/>
      <c r="F28" s="105"/>
      <c r="G28" s="49"/>
      <c r="H28" s="51"/>
      <c r="I28" s="51"/>
      <c r="J28" s="112"/>
      <c r="K28" s="51"/>
      <c r="L28" s="24"/>
      <c r="M28" s="48"/>
      <c r="N28" s="47"/>
      <c r="O28" s="73"/>
      <c r="P28" s="51"/>
    </row>
    <row r="29" spans="1:17" s="2" customFormat="1" ht="18">
      <c r="A29" s="17" t="s">
        <v>30</v>
      </c>
      <c r="B29" s="3"/>
      <c r="C29" s="3"/>
      <c r="D29" s="3"/>
      <c r="E29" s="175"/>
      <c r="F29" s="28"/>
      <c r="G29" s="38"/>
      <c r="H29" s="35"/>
      <c r="I29" s="42"/>
      <c r="J29" s="108"/>
      <c r="K29" s="38"/>
      <c r="L29" s="24"/>
      <c r="M29" s="48"/>
      <c r="N29" s="47"/>
      <c r="O29" s="73"/>
      <c r="P29" s="51"/>
    </row>
    <row r="30" spans="1:17" s="2" customFormat="1" ht="18">
      <c r="A30" s="120" t="s">
        <v>15</v>
      </c>
      <c r="B30" s="121">
        <f t="shared" ref="B30:C34" si="0">D30/12</f>
        <v>-83.333333333333329</v>
      </c>
      <c r="C30" s="121">
        <f t="shared" si="0"/>
        <v>0</v>
      </c>
      <c r="D30" s="124">
        <v>-1000</v>
      </c>
      <c r="E30" s="175"/>
      <c r="F30" s="28"/>
      <c r="G30" s="38"/>
      <c r="H30" s="35"/>
      <c r="I30" s="42"/>
      <c r="J30" s="108"/>
      <c r="K30" s="38"/>
      <c r="L30" s="24"/>
      <c r="M30" s="24"/>
      <c r="N30" s="31"/>
      <c r="O30" s="71"/>
    </row>
    <row r="31" spans="1:17" s="2" customFormat="1" ht="18">
      <c r="A31" s="122" t="s">
        <v>16</v>
      </c>
      <c r="B31" s="104">
        <f t="shared" si="0"/>
        <v>-41.666666666666664</v>
      </c>
      <c r="C31" s="104">
        <f t="shared" si="0"/>
        <v>0</v>
      </c>
      <c r="D31" s="125">
        <v>-500</v>
      </c>
      <c r="E31" s="175"/>
      <c r="F31" s="28"/>
      <c r="G31" s="38"/>
      <c r="H31" s="35"/>
      <c r="I31" s="42"/>
      <c r="J31" s="108"/>
      <c r="K31" s="38"/>
      <c r="L31" s="24"/>
      <c r="M31" s="24"/>
      <c r="N31" s="31"/>
      <c r="O31" s="71"/>
    </row>
    <row r="32" spans="1:17" s="2" customFormat="1" ht="18">
      <c r="A32" s="122" t="s">
        <v>17</v>
      </c>
      <c r="B32" s="104">
        <f t="shared" si="0"/>
        <v>-41.666666666666664</v>
      </c>
      <c r="C32" s="104">
        <f t="shared" si="0"/>
        <v>0</v>
      </c>
      <c r="D32" s="125">
        <v>-500</v>
      </c>
      <c r="E32" s="175"/>
      <c r="F32" s="28"/>
      <c r="G32" s="38"/>
      <c r="H32" s="35"/>
      <c r="I32" s="42"/>
      <c r="J32" s="108"/>
      <c r="K32" s="38"/>
      <c r="L32" s="24"/>
      <c r="M32" s="24"/>
      <c r="N32" s="31"/>
      <c r="O32" s="71"/>
    </row>
    <row r="33" spans="1:15" s="2" customFormat="1" ht="18">
      <c r="A33" s="122" t="s">
        <v>18</v>
      </c>
      <c r="B33" s="104">
        <f t="shared" si="0"/>
        <v>-83.333333333333329</v>
      </c>
      <c r="C33" s="104">
        <f t="shared" si="0"/>
        <v>0</v>
      </c>
      <c r="D33" s="125">
        <v>-1000</v>
      </c>
      <c r="E33" s="175"/>
      <c r="F33" s="28"/>
      <c r="G33" s="38"/>
      <c r="H33" s="35"/>
      <c r="I33" s="42"/>
      <c r="J33" s="108"/>
      <c r="K33" s="38"/>
      <c r="L33" s="24"/>
      <c r="M33" s="24"/>
      <c r="N33" s="31"/>
      <c r="O33" s="71"/>
    </row>
    <row r="34" spans="1:15" s="2" customFormat="1" ht="18">
      <c r="A34" s="102" t="s">
        <v>23</v>
      </c>
      <c r="B34" s="123">
        <f t="shared" si="0"/>
        <v>-58.333333333333336</v>
      </c>
      <c r="C34" s="123">
        <f t="shared" si="0"/>
        <v>0</v>
      </c>
      <c r="D34" s="126">
        <v>-700</v>
      </c>
      <c r="E34" s="175"/>
      <c r="F34" s="28"/>
      <c r="G34" s="38"/>
      <c r="H34" s="35"/>
      <c r="I34" s="42"/>
      <c r="J34" s="108"/>
      <c r="K34" s="38"/>
      <c r="L34" s="24"/>
      <c r="M34" s="24"/>
      <c r="N34" s="31"/>
      <c r="O34" s="71"/>
    </row>
    <row r="35" spans="1:15" s="2" customFormat="1" ht="18">
      <c r="A35" s="161" t="s">
        <v>21</v>
      </c>
      <c r="B35" s="162">
        <f>SUM(B30:B34)</f>
        <v>-308.33333333333331</v>
      </c>
      <c r="C35" s="162">
        <f>SUM(C30:C34)</f>
        <v>0</v>
      </c>
      <c r="D35" s="164">
        <f>SUM(D30:D34)</f>
        <v>-3700</v>
      </c>
      <c r="E35" s="175"/>
      <c r="F35" s="28"/>
      <c r="G35" s="38"/>
      <c r="H35" s="35"/>
      <c r="I35" s="42"/>
      <c r="J35" s="108"/>
      <c r="K35" s="38"/>
      <c r="L35" s="24"/>
      <c r="M35" s="24"/>
      <c r="N35" s="31"/>
      <c r="O35" s="71"/>
    </row>
    <row r="36" spans="1:15" s="2" customFormat="1" ht="18">
      <c r="B36" s="4"/>
      <c r="C36" s="4"/>
      <c r="D36" s="4"/>
      <c r="E36" s="175"/>
      <c r="F36" s="28"/>
      <c r="G36" s="38"/>
      <c r="H36" s="35"/>
      <c r="I36" s="42"/>
      <c r="J36" s="108"/>
      <c r="K36" s="38"/>
      <c r="L36" s="24"/>
      <c r="M36" s="24"/>
      <c r="N36" s="31"/>
      <c r="O36" s="71"/>
    </row>
    <row r="37" spans="1:15" s="10" customFormat="1" ht="18">
      <c r="A37" s="8" t="s">
        <v>8</v>
      </c>
      <c r="B37" s="9">
        <f>B12+B19+B21+B27+B35</f>
        <v>1120.5000000000007</v>
      </c>
      <c r="C37" s="9">
        <f>C12+C19+C21+C27+C35</f>
        <v>428.83333333333394</v>
      </c>
      <c r="D37" s="9">
        <f>original!B42</f>
        <v>-7683.9500000000007</v>
      </c>
      <c r="E37" s="180" t="e">
        <f>original!#REF!</f>
        <v>#REF!</v>
      </c>
      <c r="F37" s="9"/>
      <c r="G37" s="43"/>
      <c r="H37" s="40"/>
      <c r="I37" s="82"/>
      <c r="J37" s="113"/>
      <c r="K37" s="43"/>
      <c r="L37" s="26"/>
      <c r="M37" s="26"/>
      <c r="N37" s="33"/>
      <c r="O37" s="75"/>
    </row>
    <row r="38" spans="1:15" s="2" customFormat="1" ht="18">
      <c r="A38" s="1"/>
      <c r="B38" s="11"/>
      <c r="C38" s="11"/>
      <c r="D38" s="11"/>
      <c r="E38" s="175"/>
      <c r="F38" s="28"/>
      <c r="G38" s="38"/>
      <c r="H38" s="35"/>
      <c r="I38" s="42"/>
      <c r="J38" s="108"/>
      <c r="K38" s="38"/>
      <c r="L38" s="24"/>
      <c r="M38" s="24"/>
      <c r="N38" s="31"/>
      <c r="O38" s="71"/>
    </row>
    <row r="39" spans="1:15" s="2" customFormat="1" ht="18">
      <c r="E39" s="175"/>
      <c r="F39" s="28"/>
      <c r="G39" s="38"/>
      <c r="H39" s="35"/>
      <c r="I39" s="42"/>
      <c r="J39" s="108"/>
      <c r="K39" s="38"/>
      <c r="L39" s="24"/>
      <c r="M39" s="24"/>
      <c r="N39" s="31"/>
      <c r="O39" s="71"/>
    </row>
    <row r="40" spans="1:15" s="58" customFormat="1" ht="18">
      <c r="B40" s="59"/>
      <c r="C40" s="59"/>
      <c r="D40" s="59"/>
      <c r="E40" s="181"/>
      <c r="F40" s="61"/>
      <c r="G40" s="62"/>
      <c r="H40" s="53"/>
      <c r="I40" s="81"/>
      <c r="J40" s="110"/>
      <c r="K40" s="62"/>
      <c r="L40" s="63"/>
      <c r="M40" s="63"/>
      <c r="N40" s="64"/>
      <c r="O40" s="76"/>
    </row>
    <row r="41" spans="1:15" s="58" customFormat="1" ht="18">
      <c r="B41" s="55"/>
      <c r="C41" s="55"/>
      <c r="D41" s="55"/>
      <c r="E41" s="181"/>
      <c r="F41" s="61"/>
      <c r="G41" s="62"/>
      <c r="H41" s="53"/>
      <c r="I41" s="81"/>
      <c r="J41" s="110"/>
      <c r="K41" s="62"/>
      <c r="L41" s="63"/>
      <c r="M41" s="63"/>
      <c r="N41" s="64"/>
      <c r="O41" s="76"/>
    </row>
    <row r="42" spans="1:15" s="58" customFormat="1" ht="18">
      <c r="B42" s="55"/>
      <c r="C42" s="55"/>
      <c r="D42" s="55"/>
      <c r="E42" s="181"/>
      <c r="F42" s="61"/>
      <c r="G42" s="62"/>
      <c r="H42" s="53"/>
      <c r="I42" s="81"/>
      <c r="J42" s="110"/>
      <c r="K42" s="62"/>
      <c r="L42" s="63"/>
      <c r="M42" s="63"/>
      <c r="N42" s="64"/>
      <c r="O42" s="76"/>
    </row>
    <row r="43" spans="1:15" s="58" customFormat="1" ht="18">
      <c r="B43" s="55"/>
      <c r="C43" s="55"/>
      <c r="D43" s="55"/>
      <c r="E43" s="181"/>
      <c r="F43" s="61"/>
      <c r="G43" s="62"/>
      <c r="H43" s="53"/>
      <c r="I43" s="81"/>
      <c r="J43" s="110"/>
      <c r="K43" s="62"/>
      <c r="L43" s="63"/>
      <c r="M43" s="63"/>
      <c r="N43" s="64"/>
      <c r="O43" s="76"/>
    </row>
    <row r="44" spans="1:15" s="56" customFormat="1">
      <c r="B44" s="57"/>
      <c r="C44" s="57"/>
      <c r="D44" s="57"/>
      <c r="E44" s="182"/>
      <c r="F44" s="66"/>
      <c r="G44" s="67"/>
      <c r="H44" s="68"/>
      <c r="I44" s="83"/>
      <c r="J44" s="114"/>
      <c r="K44" s="67"/>
      <c r="L44" s="69"/>
      <c r="M44" s="69"/>
      <c r="N44" s="70"/>
      <c r="O44" s="77"/>
    </row>
  </sheetData>
  <mergeCells count="3">
    <mergeCell ref="A1:D2"/>
    <mergeCell ref="A3:D3"/>
    <mergeCell ref="E4:E5"/>
  </mergeCells>
  <phoneticPr fontId="14" type="noConversion"/>
  <pageMargins left="0.7" right="0.7" top="0.75" bottom="0.75" header="0.3" footer="0.3"/>
  <pageSetup scale="4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2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6.1640625" bestFit="1" customWidth="1"/>
    <col min="2" max="2" width="17.5" bestFit="1" customWidth="1"/>
    <col min="3" max="3" width="4.1640625" customWidth="1"/>
    <col min="4" max="4" width="16.6640625" bestFit="1" customWidth="1"/>
    <col min="5" max="5" width="3.5" style="22" customWidth="1"/>
    <col min="6" max="6" width="20.6640625" style="30" bestFit="1" customWidth="1"/>
    <col min="7" max="7" width="20.5" style="41" bestFit="1" customWidth="1"/>
    <col min="8" max="8" width="15.33203125" style="37" bestFit="1" customWidth="1"/>
    <col min="9" max="9" width="15.33203125" style="84" customWidth="1"/>
    <col min="10" max="10" width="7.33203125" style="115" bestFit="1" customWidth="1"/>
    <col min="11" max="11" width="16.83203125" style="41" customWidth="1"/>
    <col min="12" max="12" width="3" style="27" customWidth="1"/>
    <col min="13" max="13" width="15.83203125" style="27" bestFit="1" customWidth="1"/>
    <col min="14" max="14" width="11.33203125" style="34" bestFit="1" customWidth="1"/>
    <col min="15" max="15" width="5.83203125" style="78" bestFit="1" customWidth="1"/>
    <col min="16" max="17" width="11.33203125" bestFit="1" customWidth="1"/>
    <col min="18" max="18" width="10.1640625" bestFit="1" customWidth="1"/>
  </cols>
  <sheetData>
    <row r="1" spans="1:18" s="2" customFormat="1" ht="14" customHeight="1">
      <c r="A1" s="218" t="s">
        <v>10</v>
      </c>
      <c r="B1" s="218"/>
      <c r="C1" s="218"/>
      <c r="D1" s="218"/>
      <c r="E1" s="18"/>
      <c r="F1" s="28"/>
      <c r="G1" s="38"/>
      <c r="H1" s="35"/>
      <c r="I1" s="42"/>
      <c r="J1" s="108"/>
      <c r="K1" s="38"/>
      <c r="L1" s="24"/>
      <c r="M1" s="24"/>
      <c r="N1" s="31"/>
      <c r="O1" s="71"/>
    </row>
    <row r="2" spans="1:18" s="2" customFormat="1" ht="14" customHeight="1">
      <c r="A2" s="218"/>
      <c r="B2" s="218"/>
      <c r="C2" s="218"/>
      <c r="D2" s="218"/>
      <c r="E2" s="18"/>
      <c r="F2" s="28"/>
      <c r="G2" s="38"/>
      <c r="H2" s="35"/>
      <c r="I2" s="42"/>
      <c r="J2" s="108"/>
      <c r="K2" s="38"/>
      <c r="L2" s="24"/>
      <c r="M2" s="24"/>
      <c r="N2" s="31"/>
      <c r="O2" s="71"/>
    </row>
    <row r="3" spans="1:18" s="16" customFormat="1" ht="20">
      <c r="A3" s="218" t="s">
        <v>37</v>
      </c>
      <c r="B3" s="218"/>
      <c r="C3" s="218"/>
      <c r="D3" s="218"/>
      <c r="E3" s="19"/>
      <c r="F3" s="29"/>
      <c r="G3" s="39"/>
      <c r="H3" s="36"/>
      <c r="I3" s="80"/>
      <c r="J3" s="109"/>
      <c r="K3" s="39"/>
      <c r="L3" s="25"/>
      <c r="M3" s="25"/>
      <c r="N3" s="32"/>
      <c r="O3" s="72"/>
    </row>
    <row r="4" spans="1:18" s="12" customFormat="1" ht="23">
      <c r="B4" s="13" t="s">
        <v>7</v>
      </c>
      <c r="C4" s="14"/>
      <c r="D4" s="15" t="s">
        <v>29</v>
      </c>
      <c r="E4" s="23"/>
      <c r="F4" s="134"/>
      <c r="G4" s="135"/>
      <c r="H4" s="79"/>
      <c r="I4" s="79"/>
      <c r="J4" s="107"/>
      <c r="K4" s="135"/>
      <c r="L4" s="136"/>
      <c r="M4" s="136"/>
      <c r="N4" s="137"/>
      <c r="O4" s="138"/>
      <c r="P4" s="139"/>
    </row>
    <row r="5" spans="1:18" s="12" customFormat="1" ht="23">
      <c r="A5" s="90"/>
      <c r="B5" s="91" t="s">
        <v>33</v>
      </c>
      <c r="C5" s="92"/>
      <c r="D5" s="93" t="s">
        <v>31</v>
      </c>
      <c r="E5" s="23"/>
      <c r="F5" s="134"/>
      <c r="G5" s="135"/>
      <c r="H5" s="79"/>
      <c r="I5" s="79"/>
      <c r="J5" s="107"/>
      <c r="K5" s="135"/>
      <c r="L5" s="136"/>
      <c r="M5" s="136"/>
      <c r="N5" s="137"/>
      <c r="O5" s="140"/>
      <c r="P5" s="139"/>
    </row>
    <row r="6" spans="1:18" s="2" customFormat="1" ht="18">
      <c r="A6" s="94" t="s">
        <v>14</v>
      </c>
      <c r="B6" s="85">
        <f>-31*(9.5*3)-230</f>
        <v>-1113.5</v>
      </c>
      <c r="C6" s="85"/>
      <c r="D6" s="86"/>
      <c r="E6" s="18"/>
      <c r="F6" s="105"/>
      <c r="G6" s="45"/>
      <c r="H6" s="50"/>
      <c r="I6" s="45"/>
      <c r="J6" s="111"/>
      <c r="K6" s="45"/>
      <c r="L6" s="46"/>
      <c r="M6" s="105"/>
      <c r="N6" s="45"/>
      <c r="O6" s="50"/>
      <c r="P6" s="45"/>
      <c r="Q6" s="42"/>
      <c r="R6" s="42"/>
    </row>
    <row r="7" spans="1:18" s="2" customFormat="1" ht="18">
      <c r="A7" s="95" t="s">
        <v>11</v>
      </c>
      <c r="B7" s="87">
        <v>-550</v>
      </c>
      <c r="C7" s="87"/>
      <c r="D7" s="86"/>
      <c r="E7" s="18"/>
      <c r="F7" s="61"/>
      <c r="G7" s="44"/>
      <c r="H7" s="53"/>
      <c r="I7" s="45"/>
      <c r="J7" s="110"/>
      <c r="K7" s="45"/>
      <c r="L7" s="46"/>
      <c r="M7" s="105"/>
      <c r="N7" s="45"/>
      <c r="O7" s="50"/>
      <c r="P7" s="45"/>
      <c r="Q7" s="42"/>
      <c r="R7" s="42"/>
    </row>
    <row r="8" spans="1:18" s="5" customFormat="1" ht="18">
      <c r="A8" s="96" t="s">
        <v>12</v>
      </c>
      <c r="B8" s="88">
        <v>-250</v>
      </c>
      <c r="C8" s="88"/>
      <c r="D8" s="86"/>
      <c r="E8" s="20"/>
      <c r="F8" s="58"/>
      <c r="G8" s="44"/>
      <c r="H8" s="53"/>
      <c r="I8" s="81"/>
      <c r="J8" s="110"/>
      <c r="K8" s="45"/>
      <c r="L8" s="81"/>
      <c r="M8" s="51"/>
      <c r="N8" s="45"/>
      <c r="O8" s="50"/>
      <c r="P8" s="45"/>
      <c r="Q8" s="35"/>
    </row>
    <row r="9" spans="1:18" s="5" customFormat="1" ht="18">
      <c r="A9" s="96" t="s">
        <v>22</v>
      </c>
      <c r="B9" s="88">
        <v>-1000</v>
      </c>
      <c r="C9" s="88"/>
      <c r="D9" s="86"/>
      <c r="E9" s="20"/>
      <c r="F9" s="58"/>
      <c r="G9" s="44"/>
      <c r="H9" s="53"/>
      <c r="I9" s="81"/>
      <c r="J9" s="110"/>
      <c r="K9" s="45"/>
      <c r="L9" s="81"/>
      <c r="M9" s="105"/>
      <c r="N9" s="45"/>
      <c r="O9" s="50"/>
      <c r="P9" s="45"/>
      <c r="Q9" s="35"/>
    </row>
    <row r="10" spans="1:18" s="2" customFormat="1" ht="18">
      <c r="A10" s="95" t="s">
        <v>2</v>
      </c>
      <c r="B10" s="87">
        <v>-150</v>
      </c>
      <c r="C10" s="87"/>
      <c r="D10" s="86"/>
      <c r="E10" s="18"/>
      <c r="F10" s="51"/>
      <c r="G10" s="47"/>
      <c r="H10" s="50"/>
      <c r="I10" s="45"/>
      <c r="J10" s="111"/>
      <c r="K10" s="45"/>
      <c r="L10" s="141"/>
      <c r="M10" s="51"/>
      <c r="N10" s="51"/>
      <c r="O10" s="73"/>
      <c r="P10" s="51"/>
    </row>
    <row r="11" spans="1:18" s="2" customFormat="1" ht="18">
      <c r="A11" s="97" t="s">
        <v>3</v>
      </c>
      <c r="B11" s="98">
        <v>-600</v>
      </c>
      <c r="C11" s="98"/>
      <c r="D11" s="86"/>
      <c r="E11" s="18"/>
      <c r="F11" s="51"/>
      <c r="G11" s="47"/>
      <c r="H11" s="50"/>
      <c r="I11" s="45"/>
      <c r="J11" s="111"/>
      <c r="K11" s="45"/>
      <c r="L11" s="141"/>
      <c r="M11" s="51"/>
      <c r="N11" s="51"/>
      <c r="O11" s="73"/>
      <c r="P11" s="51"/>
    </row>
    <row r="12" spans="1:18" s="2" customFormat="1" ht="18">
      <c r="A12" s="143" t="s">
        <v>28</v>
      </c>
      <c r="B12" s="144">
        <f>SUM(B6:B11)/3</f>
        <v>-1221.1666666666667</v>
      </c>
      <c r="C12" s="145"/>
      <c r="D12" s="146">
        <f>original!B12</f>
        <v>-12050</v>
      </c>
      <c r="E12" s="18"/>
      <c r="F12" s="51"/>
      <c r="G12" s="51"/>
      <c r="H12" s="51"/>
      <c r="I12" s="51"/>
      <c r="J12" s="112"/>
      <c r="K12" s="45"/>
      <c r="L12" s="51"/>
      <c r="M12" s="51"/>
      <c r="N12" s="51"/>
      <c r="O12" s="73"/>
      <c r="P12" s="51"/>
    </row>
    <row r="13" spans="1:18" s="2" customFormat="1" ht="18">
      <c r="A13" s="95"/>
      <c r="B13" s="87"/>
      <c r="C13" s="87"/>
      <c r="D13" s="86"/>
      <c r="E13" s="18"/>
      <c r="F13" s="51"/>
      <c r="G13" s="51"/>
      <c r="H13" s="51"/>
      <c r="I13" s="51"/>
      <c r="J13" s="112"/>
      <c r="K13" s="45"/>
      <c r="L13" s="51"/>
      <c r="M13" s="51"/>
      <c r="N13" s="51"/>
      <c r="O13" s="73"/>
      <c r="P13" s="51"/>
    </row>
    <row r="14" spans="1:18" s="2" customFormat="1" ht="18">
      <c r="A14" s="99" t="s">
        <v>4</v>
      </c>
      <c r="B14" s="100">
        <f>9*650</f>
        <v>5850</v>
      </c>
      <c r="C14" s="100"/>
      <c r="D14" s="86"/>
      <c r="E14" s="18"/>
      <c r="F14" s="51"/>
      <c r="G14" s="51"/>
      <c r="H14" s="51"/>
      <c r="I14" s="51"/>
      <c r="J14" s="112"/>
      <c r="K14" s="45"/>
      <c r="L14" s="51"/>
      <c r="M14" s="51"/>
      <c r="N14" s="47"/>
      <c r="O14" s="73"/>
      <c r="P14" s="45"/>
    </row>
    <row r="15" spans="1:18" s="2" customFormat="1" ht="18">
      <c r="A15" s="101" t="s">
        <v>32</v>
      </c>
      <c r="B15" s="89">
        <f>10*600</f>
        <v>6000</v>
      </c>
      <c r="C15" s="89"/>
      <c r="D15" s="86"/>
      <c r="E15" s="18"/>
      <c r="F15" s="51"/>
      <c r="G15" s="51"/>
      <c r="H15" s="50"/>
      <c r="I15" s="45"/>
      <c r="J15" s="111"/>
      <c r="K15" s="49"/>
      <c r="L15" s="51"/>
      <c r="M15" s="142"/>
      <c r="N15" s="47"/>
      <c r="O15" s="73"/>
      <c r="P15" s="45"/>
    </row>
    <row r="16" spans="1:18" s="2" customFormat="1" ht="18">
      <c r="A16" s="101" t="s">
        <v>19</v>
      </c>
      <c r="B16" s="89"/>
      <c r="C16" s="89"/>
      <c r="D16" s="86"/>
      <c r="E16" s="18"/>
      <c r="F16" s="51"/>
      <c r="G16" s="47"/>
      <c r="H16" s="50"/>
      <c r="I16" s="46"/>
      <c r="J16" s="111"/>
      <c r="K16" s="47"/>
      <c r="L16" s="51"/>
      <c r="M16" s="46"/>
      <c r="N16" s="47"/>
      <c r="O16" s="73"/>
      <c r="P16" s="51"/>
    </row>
    <row r="17" spans="1:16" s="2" customFormat="1" ht="18">
      <c r="A17" s="169" t="s">
        <v>21</v>
      </c>
      <c r="B17" s="170">
        <f>SUM(B14:B16)</f>
        <v>11850</v>
      </c>
      <c r="C17" s="170"/>
      <c r="D17" s="146">
        <f>original!B25</f>
        <v>22300</v>
      </c>
      <c r="E17" s="18"/>
      <c r="F17" s="105"/>
      <c r="G17" s="45"/>
      <c r="H17" s="50"/>
      <c r="I17" s="46"/>
      <c r="J17" s="111"/>
      <c r="K17" s="45"/>
      <c r="L17" s="42"/>
      <c r="M17" s="51"/>
      <c r="N17" s="51"/>
      <c r="O17" s="73"/>
      <c r="P17" s="51"/>
    </row>
    <row r="18" spans="1:16" s="2" customFormat="1" ht="18">
      <c r="A18" s="101"/>
      <c r="B18" s="89"/>
      <c r="C18" s="89"/>
      <c r="D18" s="86"/>
      <c r="E18" s="18"/>
      <c r="F18" s="105"/>
      <c r="G18" s="45"/>
      <c r="H18" s="50"/>
      <c r="I18" s="46"/>
      <c r="J18" s="111"/>
      <c r="K18" s="45"/>
      <c r="L18" s="42"/>
      <c r="M18" s="51"/>
      <c r="N18" s="51"/>
      <c r="O18" s="73"/>
      <c r="P18" s="51"/>
    </row>
    <row r="19" spans="1:16" s="2" customFormat="1" ht="18">
      <c r="A19" s="159" t="s">
        <v>25</v>
      </c>
      <c r="B19" s="165">
        <f>(-4*200)-80</f>
        <v>-880</v>
      </c>
      <c r="C19" s="165"/>
      <c r="D19" s="146">
        <f>original!B27</f>
        <v>-520</v>
      </c>
      <c r="E19" s="18"/>
      <c r="F19" s="51"/>
      <c r="G19" s="47"/>
      <c r="H19" s="50"/>
      <c r="I19" s="46"/>
      <c r="J19" s="111"/>
      <c r="K19" s="47"/>
      <c r="L19" s="42"/>
      <c r="M19" s="51"/>
      <c r="N19" s="51"/>
      <c r="O19" s="73"/>
      <c r="P19" s="51"/>
    </row>
    <row r="20" spans="1:16" s="6" customFormat="1" ht="18">
      <c r="A20" s="117"/>
      <c r="B20" s="103"/>
      <c r="C20" s="103"/>
      <c r="D20" s="86"/>
      <c r="E20" s="21"/>
      <c r="F20" s="105"/>
      <c r="G20" s="45"/>
      <c r="H20" s="50"/>
      <c r="I20" s="46"/>
      <c r="J20" s="111"/>
      <c r="K20" s="45"/>
      <c r="L20" s="42" t="s">
        <v>20</v>
      </c>
      <c r="M20" s="46"/>
      <c r="N20" s="47"/>
      <c r="O20" s="74"/>
      <c r="P20" s="52"/>
    </row>
    <row r="21" spans="1:16" s="2" customFormat="1" ht="18">
      <c r="A21" s="168" t="s">
        <v>46</v>
      </c>
      <c r="B21" s="3">
        <f>-130*4</f>
        <v>-520</v>
      </c>
      <c r="C21" s="3"/>
      <c r="D21" s="86"/>
      <c r="E21" s="18"/>
      <c r="F21" s="105"/>
      <c r="G21" s="49"/>
      <c r="H21" s="50"/>
      <c r="I21" s="46"/>
      <c r="J21" s="111"/>
      <c r="K21" s="49"/>
      <c r="L21" s="24"/>
      <c r="M21" s="48"/>
      <c r="N21" s="47"/>
      <c r="O21" s="73"/>
      <c r="P21" s="51"/>
    </row>
    <row r="22" spans="1:16" s="2" customFormat="1" ht="18">
      <c r="A22" s="118" t="s">
        <v>24</v>
      </c>
      <c r="B22" s="3">
        <v>-3600</v>
      </c>
      <c r="C22" s="3"/>
      <c r="D22" s="86"/>
      <c r="E22" s="18"/>
      <c r="F22" s="105"/>
      <c r="G22" s="49"/>
      <c r="H22" s="50"/>
      <c r="I22" s="46"/>
      <c r="J22" s="111"/>
      <c r="K22" s="49"/>
      <c r="L22" s="24"/>
      <c r="M22" s="48"/>
      <c r="N22" s="47"/>
      <c r="O22" s="73"/>
      <c r="P22" s="51"/>
    </row>
    <row r="23" spans="1:16" s="2" customFormat="1" ht="18">
      <c r="A23" s="118" t="s">
        <v>1</v>
      </c>
      <c r="B23" s="3">
        <v>-4200</v>
      </c>
      <c r="C23" s="3"/>
      <c r="D23" s="86"/>
      <c r="E23" s="18"/>
      <c r="F23" s="105"/>
      <c r="G23" s="49"/>
      <c r="H23" s="50"/>
      <c r="I23" s="46"/>
      <c r="J23" s="111"/>
      <c r="K23" s="49"/>
      <c r="L23" s="24"/>
      <c r="M23" s="48"/>
      <c r="N23" s="47"/>
      <c r="O23" s="73"/>
      <c r="P23" s="51"/>
    </row>
    <row r="24" spans="1:16" s="2" customFormat="1" ht="18">
      <c r="A24" s="119" t="s">
        <v>0</v>
      </c>
      <c r="B24" s="7"/>
      <c r="C24" s="7"/>
      <c r="D24" s="86"/>
      <c r="E24" s="18"/>
      <c r="F24" s="105"/>
      <c r="G24" s="49"/>
      <c r="H24" s="50"/>
      <c r="I24" s="46"/>
      <c r="J24" s="111"/>
      <c r="K24" s="49"/>
      <c r="L24" s="24"/>
      <c r="M24" s="48"/>
      <c r="N24" s="47"/>
      <c r="O24" s="73"/>
      <c r="P24" s="51"/>
    </row>
    <row r="25" spans="1:16" s="2" customFormat="1" ht="18">
      <c r="A25" s="160" t="s">
        <v>21</v>
      </c>
      <c r="B25" s="166">
        <f>SUM(B21:B24)</f>
        <v>-8320</v>
      </c>
      <c r="C25" s="167"/>
      <c r="D25" s="151">
        <f>original!B33</f>
        <v>-11800</v>
      </c>
      <c r="E25" s="18"/>
      <c r="F25" s="105"/>
      <c r="G25" s="49"/>
      <c r="H25" s="51"/>
      <c r="I25" s="51"/>
      <c r="J25" s="112"/>
      <c r="K25" s="51"/>
      <c r="L25" s="24"/>
      <c r="M25" s="48"/>
      <c r="N25" s="47"/>
      <c r="O25" s="73"/>
      <c r="P25" s="51"/>
    </row>
    <row r="26" spans="1:16" s="2" customFormat="1" ht="18">
      <c r="A26" s="116"/>
      <c r="B26" s="3"/>
      <c r="C26" s="116"/>
      <c r="D26" s="3"/>
      <c r="E26" s="18"/>
      <c r="F26" s="105"/>
      <c r="G26" s="49"/>
      <c r="H26" s="51"/>
      <c r="I26" s="51"/>
      <c r="J26" s="112"/>
      <c r="K26" s="51"/>
      <c r="L26" s="24"/>
      <c r="M26" s="48"/>
      <c r="N26" s="47"/>
      <c r="O26" s="73"/>
      <c r="P26" s="51"/>
    </row>
    <row r="27" spans="1:16" s="2" customFormat="1" ht="18">
      <c r="A27" s="17" t="s">
        <v>13</v>
      </c>
      <c r="B27" s="3"/>
      <c r="C27" s="3"/>
      <c r="D27" s="3"/>
      <c r="E27" s="18"/>
      <c r="F27" s="28"/>
      <c r="G27" s="38"/>
      <c r="H27" s="35"/>
      <c r="I27" s="42"/>
      <c r="J27" s="108"/>
      <c r="K27" s="38"/>
      <c r="L27" s="24"/>
      <c r="M27" s="48"/>
      <c r="N27" s="47"/>
      <c r="O27" s="73"/>
      <c r="P27" s="51"/>
    </row>
    <row r="28" spans="1:16" s="2" customFormat="1" ht="18">
      <c r="A28" s="120" t="s">
        <v>15</v>
      </c>
      <c r="B28" s="121">
        <f>D28/12</f>
        <v>-83.333333333333329</v>
      </c>
      <c r="C28" s="54"/>
      <c r="D28" s="124">
        <v>-1000</v>
      </c>
      <c r="E28" s="18"/>
      <c r="F28" s="28"/>
      <c r="G28" s="38"/>
      <c r="H28" s="35"/>
      <c r="I28" s="42"/>
      <c r="J28" s="108"/>
      <c r="K28" s="38"/>
      <c r="L28" s="24"/>
      <c r="M28" s="24"/>
      <c r="N28" s="31"/>
      <c r="O28" s="71"/>
    </row>
    <row r="29" spans="1:16" s="2" customFormat="1" ht="18">
      <c r="A29" s="122" t="s">
        <v>16</v>
      </c>
      <c r="B29" s="104">
        <f>D29/12</f>
        <v>-41.666666666666664</v>
      </c>
      <c r="C29" s="51"/>
      <c r="D29" s="125">
        <v>-500</v>
      </c>
      <c r="E29" s="18"/>
      <c r="F29" s="28"/>
      <c r="G29" s="38"/>
      <c r="H29" s="35"/>
      <c r="I29" s="42"/>
      <c r="J29" s="108"/>
      <c r="K29" s="38"/>
      <c r="L29" s="24"/>
      <c r="M29" s="24"/>
      <c r="N29" s="31"/>
      <c r="O29" s="71"/>
    </row>
    <row r="30" spans="1:16" s="2" customFormat="1" ht="18">
      <c r="A30" s="122" t="s">
        <v>17</v>
      </c>
      <c r="B30" s="104">
        <f>D30/12</f>
        <v>-41.666666666666664</v>
      </c>
      <c r="C30" s="51"/>
      <c r="D30" s="125">
        <v>-500</v>
      </c>
      <c r="E30" s="18"/>
      <c r="F30" s="28"/>
      <c r="G30" s="38"/>
      <c r="H30" s="35"/>
      <c r="I30" s="42"/>
      <c r="J30" s="108"/>
      <c r="K30" s="38"/>
      <c r="L30" s="24"/>
      <c r="M30" s="24"/>
      <c r="N30" s="31"/>
      <c r="O30" s="71"/>
    </row>
    <row r="31" spans="1:16" s="2" customFormat="1" ht="18">
      <c r="A31" s="122" t="s">
        <v>18</v>
      </c>
      <c r="B31" s="104">
        <f>D31/12</f>
        <v>-83.333333333333329</v>
      </c>
      <c r="C31" s="51"/>
      <c r="D31" s="125">
        <v>-1000</v>
      </c>
      <c r="E31" s="18"/>
      <c r="F31" s="28"/>
      <c r="G31" s="38"/>
      <c r="H31" s="35"/>
      <c r="I31" s="42"/>
      <c r="J31" s="108"/>
      <c r="K31" s="38"/>
      <c r="L31" s="24"/>
      <c r="M31" s="24"/>
      <c r="N31" s="31"/>
      <c r="O31" s="71"/>
    </row>
    <row r="32" spans="1:16" s="2" customFormat="1" ht="18">
      <c r="A32" s="102" t="s">
        <v>23</v>
      </c>
      <c r="B32" s="123">
        <f>D32/12</f>
        <v>-58.333333333333336</v>
      </c>
      <c r="C32" s="106"/>
      <c r="D32" s="126">
        <v>-700</v>
      </c>
      <c r="E32" s="18"/>
      <c r="F32" s="28"/>
      <c r="G32" s="38"/>
      <c r="H32" s="35"/>
      <c r="I32" s="42"/>
      <c r="J32" s="108"/>
      <c r="K32" s="38"/>
      <c r="L32" s="24"/>
      <c r="M32" s="24"/>
      <c r="N32" s="31"/>
      <c r="O32" s="71"/>
    </row>
    <row r="33" spans="1:15" s="2" customFormat="1" ht="18">
      <c r="A33" s="161" t="s">
        <v>21</v>
      </c>
      <c r="B33" s="162">
        <f>SUM(B28:B32)</f>
        <v>-308.33333333333331</v>
      </c>
      <c r="C33" s="163"/>
      <c r="D33" s="164">
        <f>SUM(D28:D32)</f>
        <v>-3700</v>
      </c>
      <c r="E33" s="18"/>
      <c r="F33" s="28"/>
      <c r="G33" s="38"/>
      <c r="H33" s="35"/>
      <c r="I33" s="42"/>
      <c r="J33" s="108"/>
      <c r="K33" s="38"/>
      <c r="L33" s="24"/>
      <c r="M33" s="24"/>
      <c r="N33" s="31"/>
      <c r="O33" s="71"/>
    </row>
    <row r="34" spans="1:15" s="2" customFormat="1" ht="18">
      <c r="B34" s="4"/>
      <c r="C34" s="4"/>
      <c r="D34" s="4"/>
      <c r="E34" s="18"/>
      <c r="F34" s="28"/>
      <c r="G34" s="38"/>
      <c r="H34" s="35"/>
      <c r="I34" s="42"/>
      <c r="J34" s="108"/>
      <c r="K34" s="38"/>
      <c r="L34" s="24"/>
      <c r="M34" s="24"/>
      <c r="N34" s="31"/>
      <c r="O34" s="71"/>
    </row>
    <row r="35" spans="1:15" s="10" customFormat="1" ht="18">
      <c r="A35" s="8" t="s">
        <v>8</v>
      </c>
      <c r="B35" s="9">
        <f>B12+B17+B19+B25+B33</f>
        <v>1120.5000000000007</v>
      </c>
      <c r="C35" s="9"/>
      <c r="D35" s="9">
        <f>original!B42</f>
        <v>-7683.9500000000007</v>
      </c>
      <c r="E35" s="9"/>
      <c r="F35" s="9"/>
      <c r="G35" s="43"/>
      <c r="H35" s="40"/>
      <c r="I35" s="82"/>
      <c r="J35" s="113"/>
      <c r="K35" s="43"/>
      <c r="L35" s="26"/>
      <c r="M35" s="26"/>
      <c r="N35" s="33"/>
      <c r="O35" s="75"/>
    </row>
    <row r="36" spans="1:15" s="2" customFormat="1" ht="18">
      <c r="A36" s="1"/>
      <c r="B36" s="11"/>
      <c r="C36" s="11"/>
      <c r="D36" s="11"/>
      <c r="E36" s="18"/>
      <c r="F36" s="28"/>
      <c r="G36" s="38"/>
      <c r="H36" s="35"/>
      <c r="I36" s="42"/>
      <c r="J36" s="108"/>
      <c r="K36" s="38"/>
      <c r="L36" s="24"/>
      <c r="M36" s="24"/>
      <c r="N36" s="31"/>
      <c r="O36" s="71"/>
    </row>
    <row r="37" spans="1:15" s="2" customFormat="1" ht="18">
      <c r="E37" s="18"/>
      <c r="F37" s="28"/>
      <c r="G37" s="38"/>
      <c r="H37" s="35"/>
      <c r="I37" s="42"/>
      <c r="J37" s="108"/>
      <c r="K37" s="38"/>
      <c r="L37" s="24"/>
      <c r="M37" s="24"/>
      <c r="N37" s="31"/>
      <c r="O37" s="71"/>
    </row>
    <row r="38" spans="1:15" s="58" customFormat="1" ht="18">
      <c r="B38" s="59"/>
      <c r="C38" s="59"/>
      <c r="D38" s="59"/>
      <c r="E38" s="60"/>
      <c r="F38" s="61"/>
      <c r="G38" s="62"/>
      <c r="H38" s="53"/>
      <c r="I38" s="81"/>
      <c r="J38" s="110"/>
      <c r="K38" s="62"/>
      <c r="L38" s="63"/>
      <c r="M38" s="63"/>
      <c r="N38" s="64"/>
      <c r="O38" s="76"/>
    </row>
    <row r="39" spans="1:15" s="58" customFormat="1" ht="18">
      <c r="B39" s="55"/>
      <c r="C39" s="55"/>
      <c r="D39" s="55"/>
      <c r="E39" s="60"/>
      <c r="F39" s="61"/>
      <c r="G39" s="62"/>
      <c r="H39" s="53"/>
      <c r="I39" s="81"/>
      <c r="J39" s="110"/>
      <c r="K39" s="62"/>
      <c r="L39" s="63"/>
      <c r="M39" s="63"/>
      <c r="N39" s="64"/>
      <c r="O39" s="76"/>
    </row>
    <row r="40" spans="1:15" s="58" customFormat="1" ht="18">
      <c r="B40" s="55"/>
      <c r="C40" s="55"/>
      <c r="D40" s="55"/>
      <c r="E40" s="60"/>
      <c r="F40" s="61"/>
      <c r="G40" s="62"/>
      <c r="H40" s="53"/>
      <c r="I40" s="81"/>
      <c r="J40" s="110"/>
      <c r="K40" s="62"/>
      <c r="L40" s="63"/>
      <c r="M40" s="63"/>
      <c r="N40" s="64"/>
      <c r="O40" s="76"/>
    </row>
    <row r="41" spans="1:15" s="58" customFormat="1" ht="18">
      <c r="B41" s="55"/>
      <c r="C41" s="55"/>
      <c r="D41" s="55"/>
      <c r="E41" s="60"/>
      <c r="F41" s="61"/>
      <c r="G41" s="62"/>
      <c r="H41" s="53"/>
      <c r="I41" s="81"/>
      <c r="J41" s="110"/>
      <c r="K41" s="62"/>
      <c r="L41" s="63"/>
      <c r="M41" s="63"/>
      <c r="N41" s="64"/>
      <c r="O41" s="76"/>
    </row>
    <row r="42" spans="1:15" s="56" customFormat="1">
      <c r="B42" s="57"/>
      <c r="C42" s="57"/>
      <c r="D42" s="57"/>
      <c r="E42" s="65"/>
      <c r="F42" s="66"/>
      <c r="G42" s="67"/>
      <c r="H42" s="68"/>
      <c r="I42" s="83"/>
      <c r="J42" s="114"/>
      <c r="K42" s="67"/>
      <c r="L42" s="69"/>
      <c r="M42" s="69"/>
      <c r="N42" s="70"/>
      <c r="O42" s="77"/>
    </row>
  </sheetData>
  <mergeCells count="2">
    <mergeCell ref="A1:D2"/>
    <mergeCell ref="A3:D3"/>
  </mergeCells>
  <phoneticPr fontId="1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8" workbookViewId="0">
      <selection activeCell="B28" sqref="B28"/>
    </sheetView>
  </sheetViews>
  <sheetFormatPr baseColWidth="10" defaultColWidth="8.83203125" defaultRowHeight="14" x14ac:dyDescent="0"/>
  <cols>
    <col min="1" max="1" width="26.1640625" bestFit="1" customWidth="1"/>
    <col min="2" max="2" width="17.5" bestFit="1" customWidth="1"/>
    <col min="3" max="3" width="4.1640625" customWidth="1"/>
    <col min="4" max="4" width="16.6640625" bestFit="1" customWidth="1"/>
    <col min="5" max="5" width="3.5" style="22" customWidth="1"/>
    <col min="6" max="6" width="20.6640625" style="30" bestFit="1" customWidth="1"/>
    <col min="7" max="7" width="20.5" style="41" bestFit="1" customWidth="1"/>
    <col min="8" max="8" width="15.33203125" style="37" bestFit="1" customWidth="1"/>
    <col min="9" max="9" width="15.33203125" style="84" customWidth="1"/>
    <col min="10" max="10" width="7.33203125" style="115" bestFit="1" customWidth="1"/>
    <col min="11" max="11" width="16.83203125" style="41" customWidth="1"/>
    <col min="12" max="12" width="3" style="27" customWidth="1"/>
    <col min="13" max="13" width="15.83203125" style="27" bestFit="1" customWidth="1"/>
    <col min="14" max="14" width="11.33203125" style="34" bestFit="1" customWidth="1"/>
    <col min="15" max="15" width="5.83203125" style="78" bestFit="1" customWidth="1"/>
    <col min="16" max="17" width="11.33203125" bestFit="1" customWidth="1"/>
    <col min="18" max="18" width="10.1640625" bestFit="1" customWidth="1"/>
  </cols>
  <sheetData>
    <row r="1" spans="1:19" s="2" customFormat="1" ht="14" customHeight="1">
      <c r="A1" s="218" t="s">
        <v>10</v>
      </c>
      <c r="B1" s="218"/>
      <c r="C1" s="218"/>
      <c r="D1" s="218"/>
      <c r="E1" s="18"/>
      <c r="F1" s="28"/>
      <c r="G1" s="38"/>
      <c r="H1" s="35"/>
      <c r="I1" s="42"/>
      <c r="J1" s="108"/>
      <c r="K1" s="38"/>
      <c r="L1" s="24"/>
      <c r="M1" s="24"/>
      <c r="N1" s="31"/>
      <c r="O1" s="71"/>
    </row>
    <row r="2" spans="1:19" s="2" customFormat="1" ht="14" customHeight="1">
      <c r="A2" s="218"/>
      <c r="B2" s="218"/>
      <c r="C2" s="218"/>
      <c r="D2" s="218"/>
      <c r="E2" s="18"/>
      <c r="F2" s="28"/>
      <c r="G2" s="38"/>
      <c r="H2" s="35"/>
      <c r="I2" s="42"/>
      <c r="J2" s="108"/>
      <c r="K2" s="38"/>
      <c r="L2" s="24"/>
      <c r="M2" s="24"/>
      <c r="N2" s="31"/>
      <c r="O2" s="71"/>
    </row>
    <row r="3" spans="1:19" s="16" customFormat="1" ht="20">
      <c r="A3" s="218" t="s">
        <v>48</v>
      </c>
      <c r="B3" s="218"/>
      <c r="C3" s="218"/>
      <c r="D3" s="218"/>
      <c r="E3" s="19"/>
      <c r="F3" s="29"/>
      <c r="G3" s="39"/>
      <c r="H3" s="36"/>
      <c r="I3" s="80"/>
      <c r="J3" s="109"/>
      <c r="K3" s="39"/>
      <c r="L3" s="25"/>
      <c r="M3" s="25"/>
      <c r="N3" s="32"/>
      <c r="O3" s="72"/>
    </row>
    <row r="4" spans="1:19" s="12" customFormat="1" ht="23">
      <c r="B4" s="13" t="s">
        <v>7</v>
      </c>
      <c r="C4" s="14"/>
      <c r="D4" s="15" t="s">
        <v>29</v>
      </c>
      <c r="E4" s="23"/>
      <c r="F4" s="134"/>
      <c r="G4" s="135"/>
      <c r="H4" s="79"/>
      <c r="I4" s="79"/>
      <c r="J4" s="107"/>
      <c r="K4" s="135"/>
      <c r="L4" s="136"/>
      <c r="M4" s="136"/>
      <c r="N4" s="137"/>
      <c r="O4" s="138"/>
      <c r="P4" s="139"/>
      <c r="Q4" s="139"/>
      <c r="R4" s="139"/>
      <c r="S4" s="139"/>
    </row>
    <row r="5" spans="1:19" s="12" customFormat="1" ht="23">
      <c r="A5" s="90"/>
      <c r="B5" s="91" t="s">
        <v>9</v>
      </c>
      <c r="C5" s="92"/>
      <c r="D5" s="93" t="s">
        <v>31</v>
      </c>
      <c r="E5" s="23"/>
      <c r="F5" s="134"/>
      <c r="G5" s="135"/>
      <c r="H5" s="79"/>
      <c r="I5" s="79"/>
      <c r="J5" s="107"/>
      <c r="K5" s="135"/>
      <c r="L5" s="136"/>
      <c r="M5" s="136"/>
      <c r="N5" s="137"/>
      <c r="O5" s="140"/>
      <c r="P5" s="139"/>
      <c r="Q5" s="139"/>
      <c r="R5" s="139"/>
      <c r="S5" s="139"/>
    </row>
    <row r="6" spans="1:19" s="2" customFormat="1" ht="18">
      <c r="A6" s="94" t="s">
        <v>14</v>
      </c>
      <c r="B6" s="85">
        <f>-31*(10.5*8)-230</f>
        <v>-2834</v>
      </c>
      <c r="C6" s="85"/>
      <c r="D6" s="86"/>
      <c r="E6" s="18"/>
      <c r="F6" s="105"/>
      <c r="G6" s="45"/>
      <c r="H6" s="50"/>
      <c r="I6" s="45"/>
      <c r="J6" s="111"/>
      <c r="K6" s="45"/>
      <c r="L6" s="46"/>
      <c r="M6" s="105"/>
      <c r="N6" s="45"/>
      <c r="O6" s="50"/>
      <c r="P6" s="45"/>
      <c r="Q6" s="46"/>
      <c r="R6" s="46"/>
      <c r="S6" s="51"/>
    </row>
    <row r="7" spans="1:19" s="2" customFormat="1" ht="18">
      <c r="A7" s="95" t="s">
        <v>11</v>
      </c>
      <c r="B7" s="87">
        <v>-1100</v>
      </c>
      <c r="C7" s="87"/>
      <c r="D7" s="86"/>
      <c r="E7" s="18"/>
      <c r="F7" s="61"/>
      <c r="G7" s="44"/>
      <c r="H7" s="53"/>
      <c r="I7" s="45"/>
      <c r="J7" s="110"/>
      <c r="K7" s="45"/>
      <c r="L7" s="46"/>
      <c r="M7" s="105"/>
      <c r="N7" s="45"/>
      <c r="O7" s="50"/>
      <c r="P7" s="45"/>
      <c r="Q7" s="46"/>
      <c r="R7" s="46"/>
      <c r="S7" s="51"/>
    </row>
    <row r="8" spans="1:19" s="5" customFormat="1" ht="18">
      <c r="A8" s="96" t="s">
        <v>12</v>
      </c>
      <c r="B8" s="88">
        <v>-750</v>
      </c>
      <c r="C8" s="88"/>
      <c r="D8" s="86"/>
      <c r="E8" s="20"/>
      <c r="F8" s="58"/>
      <c r="G8" s="44"/>
      <c r="H8" s="53"/>
      <c r="I8" s="81"/>
      <c r="J8" s="110"/>
      <c r="K8" s="45"/>
      <c r="L8" s="81"/>
      <c r="M8" s="51"/>
      <c r="N8" s="45"/>
      <c r="O8" s="50"/>
      <c r="P8" s="45"/>
      <c r="Q8" s="50"/>
      <c r="R8" s="58"/>
      <c r="S8" s="58"/>
    </row>
    <row r="9" spans="1:19" s="5" customFormat="1" ht="18">
      <c r="A9" s="96" t="s">
        <v>22</v>
      </c>
      <c r="B9" s="88">
        <v>-1000</v>
      </c>
      <c r="C9" s="88"/>
      <c r="D9" s="86"/>
      <c r="E9" s="20"/>
      <c r="F9" s="58"/>
      <c r="G9" s="44"/>
      <c r="H9" s="53"/>
      <c r="I9" s="81"/>
      <c r="J9" s="110"/>
      <c r="K9" s="45"/>
      <c r="L9" s="81"/>
      <c r="M9" s="105"/>
      <c r="N9" s="45"/>
      <c r="O9" s="50"/>
      <c r="P9" s="45"/>
      <c r="Q9" s="50"/>
      <c r="R9" s="58"/>
      <c r="S9" s="58"/>
    </row>
    <row r="10" spans="1:19" s="2" customFormat="1" ht="18">
      <c r="A10" s="95" t="s">
        <v>2</v>
      </c>
      <c r="B10" s="87">
        <v>-150</v>
      </c>
      <c r="C10" s="87"/>
      <c r="D10" s="86"/>
      <c r="E10" s="18"/>
      <c r="F10" s="51"/>
      <c r="G10" s="47"/>
      <c r="H10" s="50"/>
      <c r="I10" s="45"/>
      <c r="J10" s="111"/>
      <c r="K10" s="45"/>
      <c r="L10" s="141"/>
      <c r="M10" s="51"/>
      <c r="N10" s="51"/>
      <c r="O10" s="73"/>
      <c r="P10" s="51"/>
      <c r="Q10" s="51"/>
      <c r="R10" s="51"/>
      <c r="S10" s="51"/>
    </row>
    <row r="11" spans="1:19" s="2" customFormat="1" ht="18">
      <c r="A11" s="97" t="s">
        <v>3</v>
      </c>
      <c r="B11" s="98">
        <v>-1200</v>
      </c>
      <c r="C11" s="98"/>
      <c r="D11" s="86"/>
      <c r="E11" s="18"/>
      <c r="F11" s="51"/>
      <c r="G11" s="47"/>
      <c r="H11" s="50"/>
      <c r="I11" s="45"/>
      <c r="J11" s="111"/>
      <c r="K11" s="45"/>
      <c r="L11" s="141"/>
      <c r="M11" s="51"/>
      <c r="N11" s="51"/>
      <c r="O11" s="73"/>
      <c r="P11" s="51"/>
      <c r="Q11" s="51"/>
      <c r="R11" s="51"/>
      <c r="S11" s="51"/>
    </row>
    <row r="12" spans="1:19" s="2" customFormat="1" ht="18">
      <c r="A12" s="143" t="s">
        <v>28</v>
      </c>
      <c r="B12" s="144">
        <f>SUM(B6:B11)</f>
        <v>-7034</v>
      </c>
      <c r="C12" s="145"/>
      <c r="D12" s="146">
        <f>original!B12</f>
        <v>-12050</v>
      </c>
      <c r="E12" s="18"/>
      <c r="F12" s="51"/>
      <c r="G12" s="51"/>
      <c r="H12" s="51"/>
      <c r="I12" s="51"/>
      <c r="J12" s="112"/>
      <c r="K12" s="45"/>
      <c r="L12" s="51"/>
      <c r="M12" s="51"/>
      <c r="N12" s="51"/>
      <c r="O12" s="73"/>
      <c r="P12" s="51"/>
      <c r="Q12" s="51"/>
      <c r="R12" s="51"/>
      <c r="S12" s="51"/>
    </row>
    <row r="13" spans="1:19" s="2" customFormat="1" ht="18">
      <c r="A13" s="95"/>
      <c r="B13" s="87"/>
      <c r="C13" s="87"/>
      <c r="D13" s="86"/>
      <c r="E13" s="18"/>
      <c r="F13" s="51"/>
      <c r="G13" s="51"/>
      <c r="H13" s="51"/>
      <c r="I13" s="51"/>
      <c r="J13" s="112"/>
      <c r="K13" s="45"/>
      <c r="L13" s="51"/>
      <c r="M13" s="51"/>
      <c r="N13" s="51"/>
      <c r="O13" s="73"/>
      <c r="P13" s="51"/>
      <c r="Q13" s="51"/>
      <c r="R13" s="51"/>
      <c r="S13" s="51"/>
    </row>
    <row r="14" spans="1:19" s="2" customFormat="1" ht="18">
      <c r="A14" s="99" t="s">
        <v>4</v>
      </c>
      <c r="B14" s="100">
        <f>15*1350</f>
        <v>20250</v>
      </c>
      <c r="C14" s="100"/>
      <c r="D14" s="86"/>
      <c r="E14" s="18"/>
      <c r="F14" s="51"/>
      <c r="G14" s="51"/>
      <c r="H14" s="51"/>
      <c r="I14" s="51"/>
      <c r="J14" s="112"/>
      <c r="K14" s="45"/>
      <c r="L14" s="51"/>
      <c r="M14" s="51"/>
      <c r="N14" s="47"/>
      <c r="O14" s="73"/>
      <c r="P14" s="45"/>
      <c r="Q14" s="51"/>
      <c r="R14" s="51"/>
      <c r="S14" s="51"/>
    </row>
    <row r="15" spans="1:19" s="2" customFormat="1" ht="18">
      <c r="A15" s="101" t="s">
        <v>5</v>
      </c>
      <c r="B15" s="89"/>
      <c r="C15" s="89"/>
      <c r="D15" s="86"/>
      <c r="E15" s="18"/>
      <c r="F15" s="51"/>
      <c r="G15" s="51"/>
      <c r="H15" s="50"/>
      <c r="I15" s="45"/>
      <c r="J15" s="111"/>
      <c r="K15" s="49"/>
      <c r="L15" s="51"/>
      <c r="M15" s="142"/>
      <c r="N15" s="47"/>
      <c r="O15" s="73"/>
      <c r="P15" s="45"/>
      <c r="Q15" s="51"/>
      <c r="R15" s="51"/>
      <c r="S15" s="51"/>
    </row>
    <row r="16" spans="1:19" s="2" customFormat="1" ht="18">
      <c r="A16" s="101" t="s">
        <v>19</v>
      </c>
      <c r="B16" s="89"/>
      <c r="C16" s="89"/>
      <c r="D16" s="86"/>
      <c r="E16" s="18"/>
      <c r="F16" s="51"/>
      <c r="G16" s="47"/>
      <c r="H16" s="50"/>
      <c r="I16" s="46"/>
      <c r="J16" s="111"/>
      <c r="K16" s="47"/>
      <c r="L16" s="51"/>
      <c r="M16" s="46"/>
      <c r="N16" s="47"/>
      <c r="O16" s="73"/>
      <c r="P16" s="51"/>
      <c r="Q16" s="51"/>
      <c r="R16" s="51"/>
      <c r="S16" s="51"/>
    </row>
    <row r="17" spans="1:19" s="2" customFormat="1" ht="18">
      <c r="A17" s="101" t="s">
        <v>6</v>
      </c>
      <c r="B17" s="89"/>
      <c r="C17" s="89"/>
      <c r="D17" s="86"/>
      <c r="E17" s="18"/>
      <c r="F17" s="51"/>
      <c r="G17" s="47"/>
      <c r="H17" s="50"/>
      <c r="I17" s="46"/>
      <c r="J17" s="111"/>
      <c r="K17" s="47"/>
      <c r="L17" s="51"/>
      <c r="M17" s="46"/>
      <c r="N17" s="47"/>
      <c r="O17" s="73"/>
      <c r="P17" s="51"/>
      <c r="Q17" s="51"/>
      <c r="R17" s="51"/>
      <c r="S17" s="51"/>
    </row>
    <row r="18" spans="1:19" s="2" customFormat="1" ht="18">
      <c r="A18" s="169" t="s">
        <v>21</v>
      </c>
      <c r="B18" s="170">
        <f>SUM(B14:B17)</f>
        <v>20250</v>
      </c>
      <c r="C18" s="170"/>
      <c r="D18" s="146">
        <f>original!B25</f>
        <v>22300</v>
      </c>
      <c r="E18" s="18"/>
      <c r="F18" s="105"/>
      <c r="G18" s="45"/>
      <c r="H18" s="50"/>
      <c r="I18" s="46"/>
      <c r="J18" s="111"/>
      <c r="K18" s="45"/>
      <c r="L18" s="42"/>
      <c r="M18" s="51"/>
      <c r="N18" s="51"/>
      <c r="O18" s="73"/>
      <c r="P18" s="51"/>
    </row>
    <row r="19" spans="1:19" s="2" customFormat="1" ht="18">
      <c r="A19" s="101"/>
      <c r="B19" s="89"/>
      <c r="C19" s="89"/>
      <c r="D19" s="86"/>
      <c r="E19" s="18"/>
      <c r="F19" s="105"/>
      <c r="G19" s="45"/>
      <c r="H19" s="50"/>
      <c r="I19" s="46"/>
      <c r="J19" s="111"/>
      <c r="K19" s="45"/>
      <c r="L19" s="42"/>
      <c r="M19" s="51"/>
      <c r="N19" s="51"/>
      <c r="O19" s="73"/>
      <c r="P19" s="51"/>
    </row>
    <row r="20" spans="1:19" s="2" customFormat="1" ht="18">
      <c r="A20" s="159" t="s">
        <v>45</v>
      </c>
      <c r="B20" s="165">
        <f>-250-250-250-250-80</f>
        <v>-1080</v>
      </c>
      <c r="C20" s="165"/>
      <c r="D20" s="146">
        <f>original!B27</f>
        <v>-520</v>
      </c>
      <c r="E20" s="18"/>
      <c r="F20" s="51"/>
      <c r="G20" s="47"/>
      <c r="H20" s="50"/>
      <c r="I20" s="46"/>
      <c r="J20" s="111"/>
      <c r="K20" s="47"/>
      <c r="L20" s="42"/>
      <c r="M20" s="51"/>
      <c r="N20" s="51"/>
      <c r="O20" s="73"/>
      <c r="P20" s="51"/>
    </row>
    <row r="21" spans="1:19" s="6" customFormat="1" ht="18">
      <c r="A21" s="117"/>
      <c r="B21" s="103"/>
      <c r="C21" s="103"/>
      <c r="D21" s="86"/>
      <c r="E21" s="21"/>
      <c r="F21" s="105"/>
      <c r="G21" s="45"/>
      <c r="H21" s="50"/>
      <c r="I21" s="46"/>
      <c r="J21" s="111"/>
      <c r="K21" s="45"/>
      <c r="L21" s="42" t="s">
        <v>20</v>
      </c>
      <c r="M21" s="46"/>
      <c r="N21" s="47"/>
      <c r="O21" s="74"/>
      <c r="P21" s="52"/>
    </row>
    <row r="22" spans="1:19" s="2" customFormat="1" ht="18">
      <c r="A22" s="168" t="s">
        <v>26</v>
      </c>
      <c r="B22" s="171">
        <f>-31*130</f>
        <v>-4030</v>
      </c>
      <c r="C22" s="3"/>
      <c r="D22" s="86"/>
      <c r="E22" s="18"/>
      <c r="F22" s="105"/>
      <c r="G22" s="49"/>
      <c r="H22" s="50"/>
      <c r="I22" s="46"/>
      <c r="J22" s="111"/>
      <c r="K22" s="49"/>
      <c r="L22" s="24"/>
      <c r="M22" s="48"/>
      <c r="N22" s="47"/>
      <c r="O22" s="73"/>
      <c r="P22" s="51"/>
    </row>
    <row r="23" spans="1:19" s="2" customFormat="1" ht="18">
      <c r="A23" s="168" t="s">
        <v>27</v>
      </c>
      <c r="B23" s="171">
        <f>-31*70</f>
        <v>-2170</v>
      </c>
      <c r="C23" s="3"/>
      <c r="D23" s="86"/>
      <c r="E23" s="18"/>
      <c r="F23" s="105"/>
      <c r="G23" s="49"/>
      <c r="H23" s="50"/>
      <c r="I23" s="46"/>
      <c r="J23" s="111"/>
      <c r="K23" s="49"/>
      <c r="L23" s="24"/>
      <c r="M23" s="48"/>
      <c r="N23" s="47"/>
      <c r="O23" s="73"/>
      <c r="P23" s="51"/>
    </row>
    <row r="24" spans="1:19" s="2" customFormat="1" ht="18">
      <c r="A24" s="172"/>
      <c r="B24" s="173"/>
      <c r="C24" s="3"/>
      <c r="D24" s="86"/>
      <c r="E24" s="18"/>
      <c r="F24" s="105"/>
      <c r="G24" s="49"/>
      <c r="H24" s="50"/>
      <c r="I24" s="46"/>
      <c r="J24" s="111"/>
      <c r="K24" s="49"/>
      <c r="L24" s="24"/>
      <c r="M24" s="48"/>
      <c r="N24" s="47"/>
      <c r="O24" s="73"/>
      <c r="P24" s="51"/>
    </row>
    <row r="25" spans="1:19" s="2" customFormat="1" ht="18">
      <c r="A25" s="172" t="s">
        <v>24</v>
      </c>
      <c r="B25" s="173">
        <v>-1960</v>
      </c>
      <c r="C25" s="3"/>
      <c r="D25" s="86"/>
      <c r="E25" s="18"/>
      <c r="F25" s="105"/>
      <c r="G25" s="49"/>
      <c r="H25" s="50"/>
      <c r="I25" s="46"/>
      <c r="J25" s="111"/>
      <c r="K25" s="49"/>
      <c r="L25" s="24"/>
      <c r="M25" s="48"/>
      <c r="N25" s="47"/>
      <c r="O25" s="73"/>
      <c r="P25" s="51"/>
    </row>
    <row r="26" spans="1:19" s="2" customFormat="1" ht="18">
      <c r="A26" s="118" t="s">
        <v>1</v>
      </c>
      <c r="B26" s="3">
        <v>-4200</v>
      </c>
      <c r="C26" s="3"/>
      <c r="D26" s="86"/>
      <c r="E26" s="18"/>
      <c r="F26" s="105"/>
      <c r="G26" s="49"/>
      <c r="H26" s="50"/>
      <c r="I26" s="46"/>
      <c r="J26" s="111"/>
      <c r="K26" s="49"/>
      <c r="L26" s="24"/>
      <c r="M26" s="48"/>
      <c r="N26" s="47"/>
      <c r="O26" s="73"/>
      <c r="P26" s="51"/>
    </row>
    <row r="27" spans="1:19" s="2" customFormat="1" ht="18">
      <c r="A27" s="119" t="s">
        <v>0</v>
      </c>
      <c r="B27" s="7">
        <v>-3000</v>
      </c>
      <c r="C27" s="7"/>
      <c r="D27" s="86"/>
      <c r="E27" s="18"/>
      <c r="F27" s="105"/>
      <c r="G27" s="49"/>
      <c r="H27" s="50"/>
      <c r="I27" s="46"/>
      <c r="J27" s="111"/>
      <c r="K27" s="49"/>
      <c r="L27" s="24"/>
      <c r="M27" s="48"/>
      <c r="N27" s="47"/>
      <c r="O27" s="73"/>
      <c r="P27" s="51"/>
    </row>
    <row r="28" spans="1:19" s="2" customFormat="1" ht="18">
      <c r="A28" s="160" t="s">
        <v>21</v>
      </c>
      <c r="B28" s="166">
        <f>SUM(B22:B27)</f>
        <v>-15360</v>
      </c>
      <c r="C28" s="167"/>
      <c r="D28" s="151">
        <f>original!B33</f>
        <v>-11800</v>
      </c>
      <c r="E28" s="18"/>
      <c r="F28" s="105"/>
      <c r="G28" s="49"/>
      <c r="H28" s="51"/>
      <c r="I28" s="51"/>
      <c r="J28" s="112"/>
      <c r="K28" s="51"/>
      <c r="L28" s="24"/>
      <c r="M28" s="48"/>
      <c r="N28" s="47"/>
      <c r="O28" s="73"/>
      <c r="P28" s="51"/>
    </row>
    <row r="29" spans="1:19" s="2" customFormat="1" ht="18">
      <c r="A29" s="116"/>
      <c r="B29" s="3"/>
      <c r="C29" s="116"/>
      <c r="D29" s="3"/>
      <c r="E29" s="18"/>
      <c r="F29" s="105"/>
      <c r="G29" s="49"/>
      <c r="H29" s="51"/>
      <c r="I29" s="51"/>
      <c r="J29" s="112"/>
      <c r="K29" s="51"/>
      <c r="L29" s="24"/>
      <c r="M29" s="48"/>
      <c r="N29" s="47"/>
      <c r="O29" s="73"/>
      <c r="P29" s="51"/>
    </row>
    <row r="30" spans="1:19" s="2" customFormat="1" ht="18">
      <c r="A30" s="17" t="s">
        <v>30</v>
      </c>
      <c r="B30" s="3"/>
      <c r="C30" s="3"/>
      <c r="D30" s="3"/>
      <c r="E30" s="18"/>
      <c r="F30" s="28"/>
      <c r="G30" s="38"/>
      <c r="H30" s="35"/>
      <c r="I30" s="42"/>
      <c r="J30" s="108"/>
      <c r="K30" s="38"/>
      <c r="L30" s="24"/>
      <c r="M30" s="48"/>
      <c r="N30" s="47"/>
      <c r="O30" s="73"/>
      <c r="P30" s="51"/>
    </row>
    <row r="31" spans="1:19" s="2" customFormat="1" ht="18">
      <c r="A31" s="120" t="s">
        <v>15</v>
      </c>
      <c r="B31" s="121">
        <f>D31/12</f>
        <v>-83.333333333333329</v>
      </c>
      <c r="C31" s="54"/>
      <c r="D31" s="124">
        <v>-1000</v>
      </c>
      <c r="E31" s="18"/>
      <c r="F31" s="28"/>
      <c r="G31" s="38"/>
      <c r="H31" s="35"/>
      <c r="I31" s="42"/>
      <c r="J31" s="108"/>
      <c r="K31" s="38"/>
      <c r="L31" s="24"/>
      <c r="M31" s="24"/>
      <c r="N31" s="31"/>
      <c r="O31" s="71"/>
    </row>
    <row r="32" spans="1:19" s="2" customFormat="1" ht="18">
      <c r="A32" s="122" t="s">
        <v>16</v>
      </c>
      <c r="B32" s="104">
        <f>D32/12</f>
        <v>-41.666666666666664</v>
      </c>
      <c r="C32" s="51"/>
      <c r="D32" s="125">
        <v>-500</v>
      </c>
      <c r="E32" s="18"/>
      <c r="F32" s="28"/>
      <c r="G32" s="38"/>
      <c r="H32" s="35"/>
      <c r="I32" s="42"/>
      <c r="J32" s="108"/>
      <c r="K32" s="38"/>
      <c r="L32" s="24"/>
      <c r="M32" s="24"/>
      <c r="N32" s="31"/>
      <c r="O32" s="71"/>
    </row>
    <row r="33" spans="1:15" s="2" customFormat="1" ht="18">
      <c r="A33" s="122" t="s">
        <v>17</v>
      </c>
      <c r="B33" s="104">
        <f>D33/12</f>
        <v>-41.666666666666664</v>
      </c>
      <c r="C33" s="51"/>
      <c r="D33" s="125">
        <v>-500</v>
      </c>
      <c r="E33" s="18"/>
      <c r="F33" s="28"/>
      <c r="G33" s="38"/>
      <c r="H33" s="35"/>
      <c r="I33" s="42"/>
      <c r="J33" s="108"/>
      <c r="K33" s="38"/>
      <c r="L33" s="24"/>
      <c r="M33" s="24"/>
      <c r="N33" s="31"/>
      <c r="O33" s="71"/>
    </row>
    <row r="34" spans="1:15" s="2" customFormat="1" ht="18">
      <c r="A34" s="122" t="s">
        <v>18</v>
      </c>
      <c r="B34" s="104">
        <f>D34/12</f>
        <v>-83.333333333333329</v>
      </c>
      <c r="C34" s="51"/>
      <c r="D34" s="125">
        <v>-1000</v>
      </c>
      <c r="E34" s="18"/>
      <c r="F34" s="28"/>
      <c r="G34" s="38"/>
      <c r="H34" s="35"/>
      <c r="I34" s="42"/>
      <c r="J34" s="108"/>
      <c r="K34" s="38"/>
      <c r="L34" s="24"/>
      <c r="M34" s="24"/>
      <c r="N34" s="31"/>
      <c r="O34" s="71"/>
    </row>
    <row r="35" spans="1:15" s="2" customFormat="1" ht="18">
      <c r="A35" s="102" t="s">
        <v>23</v>
      </c>
      <c r="B35" s="123">
        <f>D35/12</f>
        <v>-58.333333333333336</v>
      </c>
      <c r="C35" s="106"/>
      <c r="D35" s="126">
        <v>-700</v>
      </c>
      <c r="E35" s="18"/>
      <c r="F35" s="28"/>
      <c r="G35" s="38"/>
      <c r="H35" s="35"/>
      <c r="I35" s="42"/>
      <c r="J35" s="108"/>
      <c r="K35" s="38"/>
      <c r="L35" s="24"/>
      <c r="M35" s="24"/>
      <c r="N35" s="31"/>
      <c r="O35" s="71"/>
    </row>
    <row r="36" spans="1:15" s="2" customFormat="1" ht="18">
      <c r="A36" s="161" t="s">
        <v>21</v>
      </c>
      <c r="B36" s="162">
        <f>SUM(B31:B35)</f>
        <v>-308.33333333333331</v>
      </c>
      <c r="C36" s="163"/>
      <c r="D36" s="164">
        <f>SUM(D31:D35)</f>
        <v>-3700</v>
      </c>
      <c r="E36" s="18"/>
      <c r="F36" s="28"/>
      <c r="G36" s="38"/>
      <c r="H36" s="35"/>
      <c r="I36" s="42"/>
      <c r="J36" s="108"/>
      <c r="K36" s="38"/>
      <c r="L36" s="24"/>
      <c r="M36" s="24"/>
      <c r="N36" s="31"/>
      <c r="O36" s="71"/>
    </row>
    <row r="37" spans="1:15" s="2" customFormat="1" ht="18">
      <c r="B37" s="4"/>
      <c r="C37" s="4"/>
      <c r="D37" s="4"/>
      <c r="E37" s="18"/>
      <c r="F37" s="28"/>
      <c r="G37" s="38"/>
      <c r="H37" s="35"/>
      <c r="I37" s="42"/>
      <c r="J37" s="108"/>
      <c r="K37" s="38"/>
      <c r="L37" s="24"/>
      <c r="M37" s="24"/>
      <c r="N37" s="31"/>
      <c r="O37" s="71"/>
    </row>
    <row r="38" spans="1:15" s="10" customFormat="1" ht="18">
      <c r="A38" s="8" t="s">
        <v>8</v>
      </c>
      <c r="B38" s="9">
        <f>B12+B18+B20+B28+B36</f>
        <v>-3532.3333333333335</v>
      </c>
      <c r="C38" s="9"/>
      <c r="D38" s="9">
        <f>original!B42</f>
        <v>-7683.9500000000007</v>
      </c>
      <c r="E38" s="9"/>
      <c r="F38" s="9"/>
      <c r="G38" s="43"/>
      <c r="H38" s="40"/>
      <c r="I38" s="82"/>
      <c r="J38" s="113"/>
      <c r="K38" s="43"/>
      <c r="L38" s="26"/>
      <c r="M38" s="26"/>
      <c r="N38" s="33"/>
      <c r="O38" s="75"/>
    </row>
    <row r="39" spans="1:15" s="2" customFormat="1" ht="18">
      <c r="A39" s="1"/>
      <c r="B39" s="11"/>
      <c r="C39" s="11"/>
      <c r="D39" s="11"/>
      <c r="E39" s="18"/>
      <c r="F39" s="28"/>
      <c r="G39" s="38"/>
      <c r="H39" s="35"/>
      <c r="I39" s="42"/>
      <c r="J39" s="108"/>
      <c r="K39" s="38"/>
      <c r="L39" s="24"/>
      <c r="M39" s="24"/>
      <c r="N39" s="31"/>
      <c r="O39" s="71"/>
    </row>
    <row r="40" spans="1:15" s="2" customFormat="1" ht="18">
      <c r="E40" s="18"/>
      <c r="F40" s="28"/>
      <c r="G40" s="38"/>
      <c r="H40" s="35"/>
      <c r="I40" s="42"/>
      <c r="J40" s="108"/>
      <c r="K40" s="38"/>
      <c r="L40" s="24"/>
      <c r="M40" s="24"/>
      <c r="N40" s="31"/>
      <c r="O40" s="71"/>
    </row>
    <row r="41" spans="1:15" s="58" customFormat="1" ht="18">
      <c r="B41" s="59"/>
      <c r="C41" s="59"/>
      <c r="D41" s="59"/>
      <c r="E41" s="60"/>
      <c r="F41" s="61"/>
      <c r="G41" s="62"/>
      <c r="H41" s="53"/>
      <c r="I41" s="81"/>
      <c r="J41" s="110"/>
      <c r="K41" s="62"/>
      <c r="L41" s="63"/>
      <c r="M41" s="63"/>
      <c r="N41" s="64"/>
      <c r="O41" s="76"/>
    </row>
    <row r="42" spans="1:15" s="58" customFormat="1" ht="18">
      <c r="B42" s="55"/>
      <c r="C42" s="55"/>
      <c r="D42" s="55"/>
      <c r="E42" s="60"/>
      <c r="F42" s="61"/>
      <c r="G42" s="62"/>
      <c r="H42" s="53"/>
      <c r="I42" s="81"/>
      <c r="J42" s="110"/>
      <c r="K42" s="62"/>
      <c r="L42" s="63"/>
      <c r="M42" s="63"/>
      <c r="N42" s="64"/>
      <c r="O42" s="76"/>
    </row>
    <row r="43" spans="1:15" s="58" customFormat="1" ht="18">
      <c r="B43" s="55"/>
      <c r="C43" s="55"/>
      <c r="D43" s="55"/>
      <c r="E43" s="60"/>
      <c r="F43" s="61"/>
      <c r="G43" s="62"/>
      <c r="H43" s="53"/>
      <c r="I43" s="81"/>
      <c r="J43" s="110"/>
      <c r="K43" s="62"/>
      <c r="L43" s="63"/>
      <c r="M43" s="63"/>
      <c r="N43" s="64"/>
      <c r="O43" s="76"/>
    </row>
    <row r="44" spans="1:15" s="58" customFormat="1" ht="18">
      <c r="B44" s="55"/>
      <c r="C44" s="55"/>
      <c r="D44" s="55"/>
      <c r="E44" s="60"/>
      <c r="F44" s="61"/>
      <c r="G44" s="62"/>
      <c r="H44" s="53"/>
      <c r="I44" s="81"/>
      <c r="J44" s="110"/>
      <c r="K44" s="62"/>
      <c r="L44" s="63"/>
      <c r="M44" s="63"/>
      <c r="N44" s="64"/>
      <c r="O44" s="76"/>
    </row>
    <row r="45" spans="1:15" s="56" customFormat="1">
      <c r="B45" s="57"/>
      <c r="C45" s="57"/>
      <c r="D45" s="57"/>
      <c r="E45" s="65"/>
      <c r="F45" s="66"/>
      <c r="G45" s="67"/>
      <c r="H45" s="68"/>
      <c r="I45" s="83"/>
      <c r="J45" s="114"/>
      <c r="K45" s="67"/>
      <c r="L45" s="69"/>
      <c r="M45" s="69"/>
      <c r="N45" s="70"/>
      <c r="O45" s="77"/>
    </row>
  </sheetData>
  <mergeCells count="2">
    <mergeCell ref="A1:D2"/>
    <mergeCell ref="A3:D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no in house clients</vt:lpstr>
      <vt:lpstr>lease out big barn</vt:lpstr>
      <vt:lpstr>max board scenario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Holly Burns</cp:lastModifiedBy>
  <cp:lastPrinted>2017-11-28T22:48:55Z</cp:lastPrinted>
  <dcterms:created xsi:type="dcterms:W3CDTF">2012-04-09T11:40:10Z</dcterms:created>
  <dcterms:modified xsi:type="dcterms:W3CDTF">2018-03-14T20:18:55Z</dcterms:modified>
</cp:coreProperties>
</file>